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ZNA\Users\Public\Public\2024\ФІНПЛАНИ\2023\ЗВІТ за 2023 рік\"/>
    </mc:Choice>
  </mc:AlternateContent>
  <bookViews>
    <workbookView xWindow="0" yWindow="0" windowWidth="28800" windowHeight="12300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до руху " sheetId="27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3">'розшифровка до руху '!$4:$5</definedName>
    <definedName name="_xlnm.Print_Titles" localSheetId="5">'Розшифровка за джерелами'!$4:$5</definedName>
    <definedName name="_xlnm.Print_Titles" localSheetId="4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фінпла'!$A$1:$H$149</definedName>
    <definedName name="_xlnm.Print_Area" localSheetId="1">'Розшифровка 1 до Формування'!$A$1:$H$124</definedName>
    <definedName name="_xlnm.Print_Area" localSheetId="2">'Розшифровка 2 до формування'!$A$1:$H$386</definedName>
    <definedName name="_xlnm.Print_Area" localSheetId="3">'розшифровка до руху '!$A$1:$G$190</definedName>
    <definedName name="_xlnm.Print_Area" localSheetId="5">'Розшифровка за джерелами'!$A$1:$P$118</definedName>
    <definedName name="_xlnm.Print_Area" localSheetId="4">'Розшифровка кап'!$A$1:$G$233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79021"/>
</workbook>
</file>

<file path=xl/calcChain.xml><?xml version="1.0" encoding="utf-8"?>
<calcChain xmlns="http://schemas.openxmlformats.org/spreadsheetml/2006/main">
  <c r="F30" i="26" l="1"/>
  <c r="G105" i="24" l="1"/>
  <c r="F105" i="24"/>
  <c r="G104" i="24"/>
  <c r="F104" i="24"/>
  <c r="G103" i="24"/>
  <c r="F103" i="24"/>
  <c r="G102" i="24"/>
  <c r="F102" i="24"/>
  <c r="G101" i="24"/>
  <c r="F101" i="24"/>
  <c r="G100" i="24"/>
  <c r="F100" i="24"/>
  <c r="G99" i="24"/>
  <c r="F99" i="24"/>
  <c r="G98" i="24"/>
  <c r="F98" i="24"/>
  <c r="G97" i="24"/>
  <c r="F97" i="24"/>
  <c r="G96" i="24"/>
  <c r="F96" i="24"/>
  <c r="G95" i="24"/>
  <c r="F95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40" i="24"/>
  <c r="F40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G187" i="27"/>
  <c r="F187" i="27"/>
  <c r="G186" i="27"/>
  <c r="F186" i="27"/>
  <c r="G185" i="27"/>
  <c r="F185" i="27"/>
  <c r="G184" i="27"/>
  <c r="F184" i="27"/>
  <c r="G183" i="27"/>
  <c r="F183" i="27"/>
  <c r="G182" i="27"/>
  <c r="F182" i="27"/>
  <c r="G181" i="27"/>
  <c r="F181" i="27"/>
  <c r="G180" i="27"/>
  <c r="F180" i="27"/>
  <c r="G179" i="27"/>
  <c r="F179" i="27"/>
  <c r="G178" i="27"/>
  <c r="F178" i="27"/>
  <c r="G177" i="27"/>
  <c r="F177" i="27"/>
  <c r="G176" i="27"/>
  <c r="F176" i="27"/>
  <c r="G175" i="27"/>
  <c r="F175" i="27"/>
  <c r="G174" i="27"/>
  <c r="F174" i="27"/>
  <c r="G173" i="27"/>
  <c r="F173" i="27"/>
  <c r="G172" i="27"/>
  <c r="F172" i="27"/>
  <c r="G171" i="27"/>
  <c r="F171" i="27"/>
  <c r="G170" i="27"/>
  <c r="F170" i="27"/>
  <c r="G169" i="27"/>
  <c r="F169" i="27"/>
  <c r="G168" i="27"/>
  <c r="F168" i="27"/>
  <c r="G167" i="27"/>
  <c r="F167" i="27"/>
  <c r="G166" i="27"/>
  <c r="F166" i="27"/>
  <c r="G165" i="27"/>
  <c r="F165" i="27"/>
  <c r="G164" i="27"/>
  <c r="F164" i="27"/>
  <c r="G163" i="27"/>
  <c r="F163" i="27"/>
  <c r="G162" i="27"/>
  <c r="F162" i="27"/>
  <c r="G161" i="27"/>
  <c r="F161" i="27"/>
  <c r="G160" i="27"/>
  <c r="F160" i="27"/>
  <c r="G159" i="27"/>
  <c r="F159" i="27"/>
  <c r="G158" i="27"/>
  <c r="F158" i="27"/>
  <c r="G157" i="27"/>
  <c r="F157" i="27"/>
  <c r="G156" i="27"/>
  <c r="F156" i="27"/>
  <c r="G155" i="27"/>
  <c r="F155" i="27"/>
  <c r="G154" i="27"/>
  <c r="F154" i="27"/>
  <c r="G153" i="27"/>
  <c r="F153" i="27"/>
  <c r="G152" i="27"/>
  <c r="F152" i="27"/>
  <c r="G151" i="27"/>
  <c r="F151" i="27"/>
  <c r="G150" i="27"/>
  <c r="F150" i="27"/>
  <c r="G149" i="27"/>
  <c r="F149" i="27"/>
  <c r="G148" i="27"/>
  <c r="F148" i="27"/>
  <c r="G147" i="27"/>
  <c r="F147" i="27"/>
  <c r="G146" i="27"/>
  <c r="F146" i="27"/>
  <c r="G145" i="27"/>
  <c r="F145" i="27"/>
  <c r="G144" i="27"/>
  <c r="F144" i="27"/>
  <c r="G143" i="27"/>
  <c r="F143" i="27"/>
  <c r="G142" i="27"/>
  <c r="F142" i="27"/>
  <c r="G141" i="27"/>
  <c r="F141" i="27"/>
  <c r="G140" i="27"/>
  <c r="F140" i="27"/>
  <c r="G139" i="27"/>
  <c r="F139" i="27"/>
  <c r="G138" i="27"/>
  <c r="F138" i="27"/>
  <c r="G137" i="27"/>
  <c r="F137" i="27"/>
  <c r="G136" i="27"/>
  <c r="F136" i="27"/>
  <c r="G135" i="27"/>
  <c r="F135" i="27"/>
  <c r="G134" i="27"/>
  <c r="F134" i="27"/>
  <c r="G133" i="27"/>
  <c r="F133" i="27"/>
  <c r="G132" i="27"/>
  <c r="F132" i="27"/>
  <c r="G131" i="27"/>
  <c r="F131" i="27"/>
  <c r="G130" i="27"/>
  <c r="F130" i="27"/>
  <c r="G129" i="27"/>
  <c r="F129" i="27"/>
  <c r="G128" i="27"/>
  <c r="F128" i="27"/>
  <c r="G127" i="27"/>
  <c r="F127" i="27"/>
  <c r="G126" i="27"/>
  <c r="F126" i="27"/>
  <c r="G125" i="27"/>
  <c r="F125" i="27"/>
  <c r="G124" i="27"/>
  <c r="F124" i="27"/>
  <c r="G123" i="27"/>
  <c r="F123" i="27"/>
  <c r="G122" i="27"/>
  <c r="F122" i="27"/>
  <c r="G121" i="27"/>
  <c r="F121" i="27"/>
  <c r="G120" i="27"/>
  <c r="F120" i="27"/>
  <c r="G119" i="27"/>
  <c r="F119" i="27"/>
  <c r="G118" i="27"/>
  <c r="F118" i="27"/>
  <c r="G117" i="27"/>
  <c r="F117" i="27"/>
  <c r="G116" i="27"/>
  <c r="F116" i="27"/>
  <c r="G115" i="27"/>
  <c r="F115" i="27"/>
  <c r="G114" i="27"/>
  <c r="F114" i="27"/>
  <c r="G113" i="27"/>
  <c r="F113" i="27"/>
  <c r="G112" i="27"/>
  <c r="F112" i="27"/>
  <c r="G111" i="27"/>
  <c r="F111" i="27"/>
  <c r="G110" i="27"/>
  <c r="F110" i="27"/>
  <c r="G109" i="27"/>
  <c r="F109" i="27"/>
  <c r="G108" i="27"/>
  <c r="F108" i="27"/>
  <c r="G107" i="27"/>
  <c r="F107" i="27"/>
  <c r="G106" i="27"/>
  <c r="F106" i="27"/>
  <c r="G105" i="27"/>
  <c r="F105" i="27"/>
  <c r="G104" i="27"/>
  <c r="F104" i="27"/>
  <c r="G103" i="27"/>
  <c r="F103" i="27"/>
  <c r="G102" i="27"/>
  <c r="F102" i="27"/>
  <c r="G101" i="27"/>
  <c r="F101" i="27"/>
  <c r="G100" i="27"/>
  <c r="F100" i="27"/>
  <c r="G99" i="27"/>
  <c r="F99" i="27"/>
  <c r="G98" i="27"/>
  <c r="F98" i="27"/>
  <c r="G97" i="27"/>
  <c r="F97" i="27"/>
  <c r="G96" i="27"/>
  <c r="F96" i="27"/>
  <c r="G95" i="27"/>
  <c r="F95" i="27"/>
  <c r="G94" i="27"/>
  <c r="F94" i="27"/>
  <c r="G93" i="27"/>
  <c r="F93" i="27"/>
  <c r="G92" i="27"/>
  <c r="F92" i="27"/>
  <c r="G91" i="27"/>
  <c r="F91" i="27"/>
  <c r="G90" i="27"/>
  <c r="F90" i="27"/>
  <c r="G89" i="27"/>
  <c r="F89" i="27"/>
  <c r="G88" i="27"/>
  <c r="F88" i="27"/>
  <c r="G87" i="27"/>
  <c r="F87" i="27"/>
  <c r="G86" i="27"/>
  <c r="F86" i="27"/>
  <c r="G85" i="27"/>
  <c r="F85" i="27"/>
  <c r="G84" i="27"/>
  <c r="F84" i="27"/>
  <c r="G83" i="27"/>
  <c r="F83" i="27"/>
  <c r="G82" i="27"/>
  <c r="F82" i="27"/>
  <c r="G81" i="27"/>
  <c r="F81" i="27"/>
  <c r="G80" i="27"/>
  <c r="F80" i="27"/>
  <c r="G79" i="27"/>
  <c r="F79" i="27"/>
  <c r="G78" i="27"/>
  <c r="F78" i="27"/>
  <c r="G77" i="27"/>
  <c r="F77" i="27"/>
  <c r="G76" i="27"/>
  <c r="F76" i="27"/>
  <c r="G75" i="27"/>
  <c r="F75" i="27"/>
  <c r="G74" i="27"/>
  <c r="F74" i="27"/>
  <c r="G73" i="27"/>
  <c r="F73" i="27"/>
  <c r="G72" i="27"/>
  <c r="F72" i="27"/>
  <c r="G71" i="27"/>
  <c r="F71" i="27"/>
  <c r="G70" i="27"/>
  <c r="F70" i="27"/>
  <c r="G69" i="27"/>
  <c r="F69" i="27"/>
  <c r="G68" i="27"/>
  <c r="F68" i="27"/>
  <c r="G67" i="27"/>
  <c r="F67" i="27"/>
  <c r="G66" i="27"/>
  <c r="F66" i="27"/>
  <c r="G65" i="27"/>
  <c r="F65" i="27"/>
  <c r="G64" i="27"/>
  <c r="F64" i="27"/>
  <c r="G63" i="27"/>
  <c r="F63" i="27"/>
  <c r="G62" i="27"/>
  <c r="F62" i="27"/>
  <c r="G61" i="27"/>
  <c r="F61" i="27"/>
  <c r="G60" i="27"/>
  <c r="F60" i="27"/>
  <c r="G59" i="27"/>
  <c r="F59" i="27"/>
  <c r="G58" i="27"/>
  <c r="F58" i="27"/>
  <c r="G57" i="27"/>
  <c r="F57" i="27"/>
  <c r="G56" i="27"/>
  <c r="F56" i="27"/>
  <c r="G55" i="27"/>
  <c r="F55" i="27"/>
  <c r="G54" i="27"/>
  <c r="F54" i="27"/>
  <c r="G53" i="27"/>
  <c r="F53" i="27"/>
  <c r="G52" i="27"/>
  <c r="F52" i="27"/>
  <c r="G51" i="27"/>
  <c r="F51" i="27"/>
  <c r="G50" i="27"/>
  <c r="F50" i="27"/>
  <c r="G49" i="27"/>
  <c r="F49" i="27"/>
  <c r="G48" i="27"/>
  <c r="F48" i="27"/>
  <c r="G47" i="27"/>
  <c r="F47" i="27"/>
  <c r="G46" i="27"/>
  <c r="F46" i="27"/>
  <c r="G45" i="27"/>
  <c r="F45" i="27"/>
  <c r="G44" i="27"/>
  <c r="F44" i="27"/>
  <c r="G43" i="27"/>
  <c r="F43" i="27"/>
  <c r="G42" i="27"/>
  <c r="F42" i="27"/>
  <c r="G41" i="27"/>
  <c r="F41" i="27"/>
  <c r="G40" i="27"/>
  <c r="F40" i="27"/>
  <c r="G39" i="27"/>
  <c r="F39" i="27"/>
  <c r="G38" i="27"/>
  <c r="F38" i="27"/>
  <c r="G37" i="27"/>
  <c r="F37" i="27"/>
  <c r="G36" i="27"/>
  <c r="F36" i="27"/>
  <c r="G35" i="27"/>
  <c r="F35" i="27"/>
  <c r="G34" i="27"/>
  <c r="F34" i="27"/>
  <c r="G32" i="27"/>
  <c r="F32" i="27"/>
  <c r="G31" i="27"/>
  <c r="F31" i="27"/>
  <c r="G30" i="27"/>
  <c r="F30" i="27"/>
  <c r="G29" i="27"/>
  <c r="F29" i="27"/>
  <c r="G28" i="27"/>
  <c r="F28" i="27"/>
  <c r="G27" i="27"/>
  <c r="F27" i="27"/>
  <c r="G26" i="27"/>
  <c r="F26" i="27"/>
  <c r="G25" i="27"/>
  <c r="F25" i="27"/>
  <c r="G24" i="27"/>
  <c r="F24" i="27"/>
  <c r="G23" i="27"/>
  <c r="F23" i="27"/>
  <c r="G22" i="27"/>
  <c r="F22" i="27"/>
  <c r="G21" i="27"/>
  <c r="F21" i="27"/>
  <c r="G20" i="27"/>
  <c r="F20" i="27"/>
  <c r="G19" i="27"/>
  <c r="F19" i="27"/>
  <c r="G18" i="27"/>
  <c r="F18" i="27"/>
  <c r="G17" i="27"/>
  <c r="F17" i="27"/>
  <c r="G16" i="27"/>
  <c r="F16" i="27"/>
  <c r="G15" i="27"/>
  <c r="F15" i="27"/>
  <c r="G14" i="27"/>
  <c r="F14" i="27"/>
  <c r="G13" i="27"/>
  <c r="F13" i="27"/>
  <c r="G12" i="27"/>
  <c r="F12" i="27"/>
  <c r="G11" i="27"/>
  <c r="F11" i="27"/>
  <c r="G10" i="27"/>
  <c r="F10" i="27"/>
  <c r="H120" i="22"/>
  <c r="G120" i="22"/>
  <c r="H119" i="22"/>
  <c r="G119" i="22"/>
  <c r="H118" i="22"/>
  <c r="G118" i="22"/>
  <c r="H117" i="22"/>
  <c r="G117" i="22"/>
  <c r="H116" i="22"/>
  <c r="G116" i="22"/>
  <c r="H115" i="22"/>
  <c r="G115" i="22"/>
  <c r="H114" i="22"/>
  <c r="G114" i="22"/>
  <c r="H113" i="22"/>
  <c r="G113" i="22"/>
  <c r="H112" i="22"/>
  <c r="G112" i="22"/>
  <c r="H111" i="22"/>
  <c r="G111" i="22"/>
  <c r="H109" i="22"/>
  <c r="G109" i="22"/>
  <c r="H108" i="22"/>
  <c r="G108" i="22"/>
  <c r="H107" i="22"/>
  <c r="G107" i="22"/>
  <c r="H106" i="22"/>
  <c r="G106" i="22"/>
  <c r="H105" i="22"/>
  <c r="G105" i="22"/>
  <c r="H104" i="22"/>
  <c r="G104" i="22"/>
  <c r="H103" i="22"/>
  <c r="G103" i="22"/>
  <c r="H102" i="22"/>
  <c r="G102" i="22"/>
  <c r="H101" i="22"/>
  <c r="G101" i="22"/>
  <c r="H100" i="22"/>
  <c r="G100" i="22"/>
  <c r="H99" i="22"/>
  <c r="G99" i="22"/>
  <c r="H98" i="22"/>
  <c r="G98" i="22"/>
  <c r="H97" i="22"/>
  <c r="G97" i="22"/>
  <c r="H96" i="22"/>
  <c r="G96" i="22"/>
  <c r="H95" i="22"/>
  <c r="G95" i="22"/>
  <c r="H94" i="22"/>
  <c r="G94" i="22"/>
  <c r="H93" i="22"/>
  <c r="G93" i="22"/>
  <c r="H92" i="22"/>
  <c r="G92" i="22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3" i="22"/>
  <c r="G83" i="22"/>
  <c r="H82" i="22"/>
  <c r="G82" i="22"/>
  <c r="H81" i="22"/>
  <c r="G81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9" i="22"/>
  <c r="G69" i="22"/>
  <c r="H68" i="22"/>
  <c r="G68" i="22"/>
  <c r="H67" i="22"/>
  <c r="G67" i="22"/>
  <c r="H66" i="22"/>
  <c r="G66" i="22"/>
  <c r="H65" i="22"/>
  <c r="G65" i="22"/>
  <c r="H64" i="22"/>
  <c r="G64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8" i="22"/>
  <c r="G48" i="22"/>
  <c r="H47" i="22"/>
  <c r="G47" i="22"/>
  <c r="H46" i="22"/>
  <c r="G46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29" i="22"/>
  <c r="G29" i="22"/>
  <c r="H28" i="22"/>
  <c r="G28" i="22"/>
  <c r="H27" i="22"/>
  <c r="G27" i="22"/>
  <c r="H26" i="22"/>
  <c r="G26" i="22"/>
  <c r="H25" i="22"/>
  <c r="G25" i="22"/>
  <c r="H24" i="22"/>
  <c r="G24" i="22"/>
  <c r="H23" i="22"/>
  <c r="G23" i="22"/>
  <c r="H22" i="22"/>
  <c r="G22" i="22"/>
  <c r="H21" i="22"/>
  <c r="G21" i="22"/>
  <c r="H20" i="22"/>
  <c r="G20" i="22"/>
  <c r="H19" i="22"/>
  <c r="G19" i="22"/>
  <c r="H18" i="22"/>
  <c r="G18" i="22"/>
  <c r="H17" i="22"/>
  <c r="G17" i="22"/>
  <c r="H16" i="22"/>
  <c r="G16" i="22"/>
  <c r="H15" i="22"/>
  <c r="G15" i="22"/>
  <c r="H14" i="22"/>
  <c r="G14" i="22"/>
  <c r="H13" i="22"/>
  <c r="G13" i="22"/>
  <c r="H12" i="22"/>
  <c r="G12" i="22"/>
  <c r="H11" i="22"/>
  <c r="G11" i="22"/>
  <c r="H10" i="22"/>
  <c r="G10" i="22"/>
  <c r="P110" i="9" l="1"/>
  <c r="O110" i="9"/>
  <c r="P109" i="9"/>
  <c r="O109" i="9"/>
  <c r="P108" i="9"/>
  <c r="O108" i="9"/>
  <c r="P107" i="9"/>
  <c r="O107" i="9"/>
  <c r="P106" i="9"/>
  <c r="O106" i="9"/>
  <c r="P105" i="9"/>
  <c r="O105" i="9"/>
  <c r="P104" i="9"/>
  <c r="O104" i="9"/>
  <c r="P103" i="9"/>
  <c r="O103" i="9"/>
  <c r="P102" i="9"/>
  <c r="O102" i="9"/>
  <c r="P101" i="9"/>
  <c r="O101" i="9"/>
  <c r="P100" i="9"/>
  <c r="O100" i="9"/>
  <c r="P99" i="9"/>
  <c r="O99" i="9"/>
  <c r="P98" i="9"/>
  <c r="O98" i="9"/>
  <c r="P97" i="9"/>
  <c r="O97" i="9"/>
  <c r="P96" i="9"/>
  <c r="O96" i="9"/>
  <c r="P95" i="9"/>
  <c r="O95" i="9"/>
  <c r="P94" i="9"/>
  <c r="O94" i="9"/>
  <c r="P93" i="9"/>
  <c r="O93" i="9"/>
  <c r="P92" i="9"/>
  <c r="O92" i="9"/>
  <c r="P91" i="9"/>
  <c r="O91" i="9"/>
  <c r="P90" i="9"/>
  <c r="O90" i="9"/>
  <c r="P89" i="9"/>
  <c r="O89" i="9"/>
  <c r="P88" i="9"/>
  <c r="O88" i="9"/>
  <c r="P87" i="9"/>
  <c r="O87" i="9"/>
  <c r="P86" i="9"/>
  <c r="O86" i="9"/>
  <c r="P85" i="9"/>
  <c r="O85" i="9"/>
  <c r="P84" i="9"/>
  <c r="O84" i="9"/>
  <c r="P83" i="9"/>
  <c r="O83" i="9"/>
  <c r="P82" i="9"/>
  <c r="O82" i="9"/>
  <c r="P81" i="9"/>
  <c r="O81" i="9"/>
  <c r="P80" i="9"/>
  <c r="O80" i="9"/>
  <c r="P79" i="9"/>
  <c r="O79" i="9"/>
  <c r="P78" i="9"/>
  <c r="O78" i="9"/>
  <c r="P77" i="9"/>
  <c r="O77" i="9"/>
  <c r="P76" i="9"/>
  <c r="O76" i="9"/>
  <c r="P75" i="9"/>
  <c r="O75" i="9"/>
  <c r="P74" i="9"/>
  <c r="O74" i="9"/>
  <c r="P73" i="9"/>
  <c r="O73" i="9"/>
  <c r="P72" i="9"/>
  <c r="O72" i="9"/>
  <c r="P71" i="9"/>
  <c r="O71" i="9"/>
  <c r="P70" i="9"/>
  <c r="O70" i="9"/>
  <c r="P69" i="9"/>
  <c r="O69" i="9"/>
  <c r="P68" i="9"/>
  <c r="O68" i="9"/>
  <c r="P67" i="9"/>
  <c r="O67" i="9"/>
  <c r="P66" i="9"/>
  <c r="O66" i="9"/>
  <c r="P65" i="9"/>
  <c r="O65" i="9"/>
  <c r="P64" i="9"/>
  <c r="O64" i="9"/>
  <c r="P63" i="9"/>
  <c r="O63" i="9"/>
  <c r="P62" i="9"/>
  <c r="O62" i="9"/>
  <c r="P61" i="9"/>
  <c r="O61" i="9"/>
  <c r="P60" i="9"/>
  <c r="O60" i="9"/>
  <c r="P59" i="9"/>
  <c r="O59" i="9"/>
  <c r="P58" i="9"/>
  <c r="O58" i="9"/>
  <c r="P57" i="9"/>
  <c r="O57" i="9"/>
  <c r="P56" i="9"/>
  <c r="O56" i="9"/>
  <c r="P55" i="9"/>
  <c r="O55" i="9"/>
  <c r="P54" i="9"/>
  <c r="O54" i="9"/>
  <c r="P53" i="9"/>
  <c r="O53" i="9"/>
  <c r="P52" i="9"/>
  <c r="O52" i="9"/>
  <c r="P51" i="9"/>
  <c r="O51" i="9"/>
  <c r="P50" i="9"/>
  <c r="O50" i="9"/>
  <c r="P49" i="9"/>
  <c r="O49" i="9"/>
  <c r="P48" i="9"/>
  <c r="O48" i="9"/>
  <c r="P47" i="9"/>
  <c r="O47" i="9"/>
  <c r="P46" i="9"/>
  <c r="O46" i="9"/>
  <c r="P45" i="9"/>
  <c r="O45" i="9"/>
  <c r="P44" i="9"/>
  <c r="O44" i="9"/>
  <c r="P43" i="9"/>
  <c r="O43" i="9"/>
  <c r="P42" i="9"/>
  <c r="O42" i="9"/>
  <c r="P41" i="9"/>
  <c r="O41" i="9"/>
  <c r="P40" i="9"/>
  <c r="O40" i="9"/>
  <c r="P39" i="9"/>
  <c r="O39" i="9"/>
  <c r="P38" i="9"/>
  <c r="O38" i="9"/>
  <c r="P37" i="9"/>
  <c r="O37" i="9"/>
  <c r="P36" i="9"/>
  <c r="O36" i="9"/>
  <c r="P35" i="9"/>
  <c r="O35" i="9"/>
  <c r="P34" i="9"/>
  <c r="O34" i="9"/>
  <c r="P33" i="9"/>
  <c r="O33" i="9"/>
  <c r="P32" i="9"/>
  <c r="O32" i="9"/>
  <c r="P31" i="9"/>
  <c r="O31" i="9"/>
  <c r="P30" i="9"/>
  <c r="O30" i="9"/>
  <c r="P29" i="9"/>
  <c r="O29" i="9"/>
  <c r="P28" i="9"/>
  <c r="O28" i="9"/>
  <c r="P27" i="9"/>
  <c r="O27" i="9"/>
  <c r="P26" i="9"/>
  <c r="O26" i="9"/>
  <c r="P25" i="9"/>
  <c r="O25" i="9"/>
  <c r="P24" i="9"/>
  <c r="O24" i="9"/>
  <c r="P23" i="9"/>
  <c r="O23" i="9"/>
  <c r="P22" i="9"/>
  <c r="O22" i="9"/>
  <c r="P21" i="9"/>
  <c r="O21" i="9"/>
  <c r="P20" i="9"/>
  <c r="O20" i="9"/>
  <c r="P19" i="9"/>
  <c r="O19" i="9"/>
  <c r="P18" i="9"/>
  <c r="O18" i="9"/>
  <c r="P17" i="9"/>
  <c r="O17" i="9"/>
  <c r="P16" i="9"/>
  <c r="O16" i="9"/>
  <c r="P15" i="9"/>
  <c r="O15" i="9"/>
  <c r="P14" i="9"/>
  <c r="O14" i="9"/>
  <c r="P13" i="9"/>
  <c r="O13" i="9"/>
  <c r="P11" i="9"/>
  <c r="O11" i="9"/>
  <c r="P10" i="9"/>
  <c r="O10" i="9"/>
  <c r="P9" i="9"/>
  <c r="O9" i="9"/>
  <c r="P8" i="9"/>
  <c r="O8" i="9"/>
  <c r="M11" i="9"/>
  <c r="D77" i="14" l="1"/>
  <c r="H7" i="9"/>
  <c r="D78" i="14" l="1"/>
  <c r="D134" i="14"/>
  <c r="D142" i="14"/>
  <c r="D138" i="14"/>
  <c r="E34" i="14"/>
  <c r="E32" i="14"/>
  <c r="E24" i="14"/>
  <c r="E8" i="14"/>
  <c r="D34" i="14"/>
  <c r="D32" i="14"/>
  <c r="D24" i="14"/>
  <c r="D8" i="14"/>
  <c r="C12" i="14"/>
  <c r="C11" i="14"/>
  <c r="C92" i="27"/>
  <c r="K41" i="26"/>
  <c r="J41" i="26"/>
  <c r="E78" i="14"/>
  <c r="C81" i="14" l="1"/>
  <c r="F115" i="22"/>
  <c r="F129" i="26"/>
  <c r="E49" i="14" l="1"/>
  <c r="D49" i="14"/>
  <c r="E48" i="14"/>
  <c r="E47" i="14"/>
  <c r="D47" i="14"/>
  <c r="E46" i="14"/>
  <c r="D46" i="14"/>
  <c r="F45" i="14"/>
  <c r="E45" i="14"/>
  <c r="D45" i="14"/>
  <c r="C49" i="14"/>
  <c r="C48" i="14"/>
  <c r="C47" i="14"/>
  <c r="C45" i="14"/>
  <c r="C46" i="14"/>
  <c r="C30" i="14" l="1"/>
  <c r="C28" i="14"/>
  <c r="C27" i="14"/>
  <c r="C26" i="14"/>
  <c r="C21" i="14"/>
  <c r="C20" i="14"/>
  <c r="C19" i="14"/>
  <c r="C18" i="14"/>
  <c r="C17" i="14"/>
  <c r="C14" i="14"/>
  <c r="C13" i="14"/>
  <c r="C10" i="14"/>
  <c r="C34" i="14"/>
  <c r="C32" i="14"/>
  <c r="C24" i="14"/>
  <c r="C8" i="14"/>
  <c r="E92" i="27" l="1"/>
  <c r="D97" i="14" s="1"/>
  <c r="F32" i="22" l="1"/>
  <c r="E32" i="22"/>
  <c r="D26" i="22"/>
  <c r="D19" i="22"/>
  <c r="K236" i="26" l="1"/>
  <c r="F252" i="26"/>
  <c r="L8" i="26"/>
  <c r="L36" i="26"/>
  <c r="L35" i="26"/>
  <c r="L34" i="26"/>
  <c r="M33" i="26"/>
  <c r="L33" i="26"/>
  <c r="M32" i="26"/>
  <c r="L32" i="26"/>
  <c r="L31" i="26"/>
  <c r="K8" i="26"/>
  <c r="K36" i="26"/>
  <c r="K35" i="26"/>
  <c r="K34" i="26"/>
  <c r="K33" i="26"/>
  <c r="K32" i="26"/>
  <c r="K31" i="26"/>
  <c r="L29" i="26"/>
  <c r="M27" i="26"/>
  <c r="L27" i="26"/>
  <c r="M26" i="26"/>
  <c r="L26" i="26"/>
  <c r="M25" i="26"/>
  <c r="L25" i="26"/>
  <c r="L24" i="26"/>
  <c r="K29" i="26"/>
  <c r="K27" i="26"/>
  <c r="K26" i="26"/>
  <c r="K25" i="26"/>
  <c r="K24" i="26"/>
  <c r="M22" i="26"/>
  <c r="L22" i="26"/>
  <c r="L21" i="26"/>
  <c r="M20" i="26"/>
  <c r="L20" i="26"/>
  <c r="M19" i="26"/>
  <c r="L19" i="26"/>
  <c r="M18" i="26"/>
  <c r="L18" i="26"/>
  <c r="L17" i="26"/>
  <c r="K22" i="26"/>
  <c r="K20" i="26"/>
  <c r="K19" i="26"/>
  <c r="K18" i="26"/>
  <c r="D172" i="26"/>
  <c r="D40" i="26"/>
  <c r="K21" i="26"/>
  <c r="K17" i="26"/>
  <c r="L15" i="26" l="1"/>
  <c r="K15" i="26"/>
  <c r="D9" i="26"/>
  <c r="D186" i="26"/>
  <c r="L14" i="26"/>
  <c r="M13" i="26"/>
  <c r="L13" i="26"/>
  <c r="M12" i="26"/>
  <c r="L12" i="26"/>
  <c r="L11" i="26"/>
  <c r="L10" i="26"/>
  <c r="K14" i="26"/>
  <c r="K13" i="26"/>
  <c r="K12" i="26"/>
  <c r="K11" i="26"/>
  <c r="K10" i="26"/>
  <c r="E6" i="26" l="1"/>
  <c r="D6" i="26"/>
  <c r="F369" i="26"/>
  <c r="F355" i="26"/>
  <c r="D355" i="26"/>
  <c r="D352" i="26"/>
  <c r="F335" i="26"/>
  <c r="D335" i="26"/>
  <c r="F328" i="26"/>
  <c r="D328" i="26"/>
  <c r="D316" i="26"/>
  <c r="F313" i="26"/>
  <c r="H313" i="26"/>
  <c r="F300" i="26"/>
  <c r="G300" i="26" s="1"/>
  <c r="D300" i="26"/>
  <c r="F294" i="26"/>
  <c r="D294" i="26"/>
  <c r="F275" i="26"/>
  <c r="D275" i="26"/>
  <c r="D261" i="26"/>
  <c r="D241" i="26"/>
  <c r="D231" i="26"/>
  <c r="D221" i="26"/>
  <c r="D209" i="26"/>
  <c r="D204" i="26"/>
  <c r="D201" i="26"/>
  <c r="D193" i="26"/>
  <c r="D187" i="26"/>
  <c r="D176" i="26"/>
  <c r="D173" i="26"/>
  <c r="D155" i="26"/>
  <c r="D146" i="26"/>
  <c r="D140" i="26"/>
  <c r="F134" i="26"/>
  <c r="H134" i="26" s="1"/>
  <c r="D134" i="26"/>
  <c r="E126" i="26"/>
  <c r="F126" i="26"/>
  <c r="F113" i="26"/>
  <c r="H113" i="26" s="1"/>
  <c r="E113" i="26"/>
  <c r="E109" i="26"/>
  <c r="H109" i="26"/>
  <c r="F109" i="26"/>
  <c r="G109" i="26" s="1"/>
  <c r="F82" i="26"/>
  <c r="E82" i="26"/>
  <c r="E72" i="26"/>
  <c r="D47" i="26"/>
  <c r="H384" i="26"/>
  <c r="G384" i="26"/>
  <c r="H381" i="26"/>
  <c r="G381" i="26"/>
  <c r="H376" i="26"/>
  <c r="G376" i="26"/>
  <c r="H375" i="26"/>
  <c r="G375" i="26"/>
  <c r="H374" i="26"/>
  <c r="G374" i="26"/>
  <c r="H372" i="26"/>
  <c r="G372" i="26"/>
  <c r="H371" i="26"/>
  <c r="G371" i="26"/>
  <c r="H370" i="26"/>
  <c r="G370" i="26"/>
  <c r="H369" i="26"/>
  <c r="G369" i="26"/>
  <c r="H368" i="26"/>
  <c r="G368" i="26"/>
  <c r="H367" i="26"/>
  <c r="G367" i="26"/>
  <c r="H366" i="26"/>
  <c r="G366" i="26"/>
  <c r="H365" i="26"/>
  <c r="G365" i="26"/>
  <c r="H364" i="26"/>
  <c r="G364" i="26"/>
  <c r="H363" i="26"/>
  <c r="G363" i="26"/>
  <c r="H362" i="26"/>
  <c r="G362" i="26"/>
  <c r="H361" i="26"/>
  <c r="G361" i="26"/>
  <c r="H360" i="26"/>
  <c r="G360" i="26"/>
  <c r="H359" i="26"/>
  <c r="G359" i="26"/>
  <c r="H358" i="26"/>
  <c r="G358" i="26"/>
  <c r="H357" i="26"/>
  <c r="G357" i="26"/>
  <c r="H356" i="26"/>
  <c r="G356" i="26"/>
  <c r="H355" i="26"/>
  <c r="G355" i="26"/>
  <c r="H354" i="26"/>
  <c r="G354" i="26"/>
  <c r="H353" i="26"/>
  <c r="G353" i="26"/>
  <c r="H352" i="26"/>
  <c r="G352" i="26"/>
  <c r="H350" i="26"/>
  <c r="G350" i="26"/>
  <c r="H349" i="26"/>
  <c r="G349" i="26"/>
  <c r="H348" i="26"/>
  <c r="G348" i="26"/>
  <c r="H347" i="26"/>
  <c r="G347" i="26"/>
  <c r="H346" i="26"/>
  <c r="G346" i="26"/>
  <c r="H345" i="26"/>
  <c r="G345" i="26"/>
  <c r="H344" i="26"/>
  <c r="G344" i="26"/>
  <c r="H343" i="26"/>
  <c r="G343" i="26"/>
  <c r="H342" i="26"/>
  <c r="G342" i="26"/>
  <c r="H341" i="26"/>
  <c r="G341" i="26"/>
  <c r="H340" i="26"/>
  <c r="G340" i="26"/>
  <c r="H339" i="26"/>
  <c r="G339" i="26"/>
  <c r="H338" i="26"/>
  <c r="G338" i="26"/>
  <c r="H337" i="26"/>
  <c r="G337" i="26"/>
  <c r="H336" i="26"/>
  <c r="G336" i="26"/>
  <c r="H335" i="26"/>
  <c r="G335" i="26"/>
  <c r="H334" i="26"/>
  <c r="G334" i="26"/>
  <c r="H333" i="26"/>
  <c r="G333" i="26"/>
  <c r="H332" i="26"/>
  <c r="G332" i="26"/>
  <c r="H331" i="26"/>
  <c r="G331" i="26"/>
  <c r="H330" i="26"/>
  <c r="G330" i="26"/>
  <c r="H329" i="26"/>
  <c r="G329" i="26"/>
  <c r="H328" i="26"/>
  <c r="G328" i="26"/>
  <c r="H326" i="26"/>
  <c r="G326" i="26"/>
  <c r="H324" i="26"/>
  <c r="G324" i="26"/>
  <c r="H323" i="26"/>
  <c r="G323" i="26"/>
  <c r="H322" i="26"/>
  <c r="G322" i="26"/>
  <c r="H321" i="26"/>
  <c r="G321" i="26"/>
  <c r="H320" i="26"/>
  <c r="G320" i="26"/>
  <c r="H319" i="26"/>
  <c r="G319" i="26"/>
  <c r="H318" i="26"/>
  <c r="G318" i="26"/>
  <c r="H317" i="26"/>
  <c r="G317" i="26"/>
  <c r="H316" i="26"/>
  <c r="G316" i="26"/>
  <c r="H315" i="26"/>
  <c r="G315" i="26"/>
  <c r="H314" i="26"/>
  <c r="G314" i="26"/>
  <c r="H311" i="26"/>
  <c r="G311" i="26"/>
  <c r="H310" i="26"/>
  <c r="G310" i="26"/>
  <c r="H309" i="26"/>
  <c r="G309" i="26"/>
  <c r="H308" i="26"/>
  <c r="G308" i="26"/>
  <c r="H307" i="26"/>
  <c r="G307" i="26"/>
  <c r="H306" i="26"/>
  <c r="G306" i="26"/>
  <c r="H305" i="26"/>
  <c r="G305" i="26"/>
  <c r="H304" i="26"/>
  <c r="G304" i="26"/>
  <c r="H303" i="26"/>
  <c r="G303" i="26"/>
  <c r="H302" i="26"/>
  <c r="G302" i="26"/>
  <c r="H301" i="26"/>
  <c r="G301" i="26"/>
  <c r="H300" i="26"/>
  <c r="H299" i="26"/>
  <c r="G299" i="26"/>
  <c r="H298" i="26"/>
  <c r="G298" i="26"/>
  <c r="H297" i="26"/>
  <c r="G297" i="26"/>
  <c r="H296" i="26"/>
  <c r="G296" i="26"/>
  <c r="H295" i="26"/>
  <c r="G295" i="26"/>
  <c r="H294" i="26"/>
  <c r="G294" i="26"/>
  <c r="H290" i="26"/>
  <c r="G290" i="26"/>
  <c r="H289" i="26"/>
  <c r="G289" i="26"/>
  <c r="H288" i="26"/>
  <c r="G288" i="26"/>
  <c r="H287" i="26"/>
  <c r="G287" i="26"/>
  <c r="H286" i="26"/>
  <c r="G286" i="26"/>
  <c r="H285" i="26"/>
  <c r="G285" i="26"/>
  <c r="H284" i="26"/>
  <c r="G284" i="26"/>
  <c r="H283" i="26"/>
  <c r="G283" i="26"/>
  <c r="H282" i="26"/>
  <c r="G282" i="26"/>
  <c r="H281" i="26"/>
  <c r="G281" i="26"/>
  <c r="H280" i="26"/>
  <c r="G280" i="26"/>
  <c r="H279" i="26"/>
  <c r="G279" i="26"/>
  <c r="H278" i="26"/>
  <c r="G278" i="26"/>
  <c r="H277" i="26"/>
  <c r="G277" i="26"/>
  <c r="H276" i="26"/>
  <c r="G276" i="26"/>
  <c r="H275" i="26"/>
  <c r="G275" i="26"/>
  <c r="H271" i="26"/>
  <c r="G271" i="26"/>
  <c r="H270" i="26"/>
  <c r="G270" i="26"/>
  <c r="H269" i="26"/>
  <c r="G269" i="26"/>
  <c r="H268" i="26"/>
  <c r="G268" i="26"/>
  <c r="H267" i="26"/>
  <c r="G267" i="26"/>
  <c r="H265" i="26"/>
  <c r="G265" i="26"/>
  <c r="H264" i="26"/>
  <c r="G264" i="26"/>
  <c r="H263" i="26"/>
  <c r="G263" i="26"/>
  <c r="H262" i="26"/>
  <c r="G262" i="26"/>
  <c r="H261" i="26"/>
  <c r="G261" i="26"/>
  <c r="H260" i="26"/>
  <c r="G260" i="26"/>
  <c r="H258" i="26"/>
  <c r="G258" i="26"/>
  <c r="H257" i="26"/>
  <c r="G257" i="26"/>
  <c r="H256" i="26"/>
  <c r="G256" i="26"/>
  <c r="H252" i="26"/>
  <c r="G252" i="26"/>
  <c r="H248" i="26"/>
  <c r="G248" i="26"/>
  <c r="H247" i="26"/>
  <c r="G247" i="26"/>
  <c r="H246" i="26"/>
  <c r="G246" i="26"/>
  <c r="H245" i="26"/>
  <c r="G245" i="26"/>
  <c r="H244" i="26"/>
  <c r="G244" i="26"/>
  <c r="H243" i="26"/>
  <c r="G243" i="26"/>
  <c r="H242" i="26"/>
  <c r="G242" i="26"/>
  <c r="H241" i="26"/>
  <c r="G241" i="26"/>
  <c r="H240" i="26"/>
  <c r="G240" i="26"/>
  <c r="H239" i="26"/>
  <c r="G239" i="26"/>
  <c r="H238" i="26"/>
  <c r="G238" i="26"/>
  <c r="H237" i="26"/>
  <c r="G237" i="26"/>
  <c r="H236" i="26"/>
  <c r="G236" i="26"/>
  <c r="H235" i="26"/>
  <c r="G235" i="26"/>
  <c r="H234" i="26"/>
  <c r="G234" i="26"/>
  <c r="H233" i="26"/>
  <c r="G233" i="26"/>
  <c r="H232" i="26"/>
  <c r="G232" i="26"/>
  <c r="H230" i="26"/>
  <c r="G230" i="26"/>
  <c r="H229" i="26"/>
  <c r="G229" i="26"/>
  <c r="H228" i="26"/>
  <c r="G228" i="26"/>
  <c r="H227" i="26"/>
  <c r="G227" i="26"/>
  <c r="H226" i="26"/>
  <c r="G226" i="26"/>
  <c r="H225" i="26"/>
  <c r="G225" i="26"/>
  <c r="H224" i="26"/>
  <c r="G224" i="26"/>
  <c r="H223" i="26"/>
  <c r="G223" i="26"/>
  <c r="H222" i="26"/>
  <c r="G222" i="26"/>
  <c r="H217" i="26"/>
  <c r="G217" i="26"/>
  <c r="H216" i="26"/>
  <c r="G216" i="26"/>
  <c r="H215" i="26"/>
  <c r="G215" i="26"/>
  <c r="H214" i="26"/>
  <c r="G214" i="26"/>
  <c r="H213" i="26"/>
  <c r="G213" i="26"/>
  <c r="H212" i="26"/>
  <c r="G212" i="26"/>
  <c r="H211" i="26"/>
  <c r="G211" i="26"/>
  <c r="H210" i="26"/>
  <c r="G210" i="26"/>
  <c r="H209" i="26"/>
  <c r="G209" i="26"/>
  <c r="H208" i="26"/>
  <c r="G208" i="26"/>
  <c r="H207" i="26"/>
  <c r="G207" i="26"/>
  <c r="H206" i="26"/>
  <c r="G206" i="26"/>
  <c r="H205" i="26"/>
  <c r="G205" i="26"/>
  <c r="H204" i="26"/>
  <c r="G204" i="26"/>
  <c r="H203" i="26"/>
  <c r="G203" i="26"/>
  <c r="H202" i="26"/>
  <c r="G202" i="26"/>
  <c r="H201" i="26"/>
  <c r="G201" i="26"/>
  <c r="H200" i="26"/>
  <c r="G200" i="26"/>
  <c r="H198" i="26"/>
  <c r="G198" i="26"/>
  <c r="H197" i="26"/>
  <c r="G197" i="26"/>
  <c r="H196" i="26"/>
  <c r="G196" i="26"/>
  <c r="H195" i="26"/>
  <c r="G195" i="26"/>
  <c r="H194" i="26"/>
  <c r="G194" i="26"/>
  <c r="H193" i="26"/>
  <c r="G193" i="26"/>
  <c r="H192" i="26"/>
  <c r="G192" i="26"/>
  <c r="H191" i="26"/>
  <c r="G191" i="26"/>
  <c r="H190" i="26"/>
  <c r="G190" i="26"/>
  <c r="H189" i="26"/>
  <c r="G189" i="26"/>
  <c r="H188" i="26"/>
  <c r="G188" i="26"/>
  <c r="H187" i="26"/>
  <c r="G187" i="26"/>
  <c r="H186" i="26"/>
  <c r="G186" i="26"/>
  <c r="H184" i="26"/>
  <c r="G184" i="26"/>
  <c r="H183" i="26"/>
  <c r="G183" i="26"/>
  <c r="H182" i="26"/>
  <c r="G182" i="26"/>
  <c r="H181" i="26"/>
  <c r="G181" i="26"/>
  <c r="H180" i="26"/>
  <c r="G180" i="26"/>
  <c r="H179" i="26"/>
  <c r="G179" i="26"/>
  <c r="H178" i="26"/>
  <c r="G178" i="26"/>
  <c r="H177" i="26"/>
  <c r="G177" i="26"/>
  <c r="H176" i="26"/>
  <c r="G176" i="26"/>
  <c r="H175" i="26"/>
  <c r="G175" i="26"/>
  <c r="H174" i="26"/>
  <c r="G174" i="26"/>
  <c r="H173" i="26"/>
  <c r="G173" i="26"/>
  <c r="H172" i="26"/>
  <c r="G172" i="26"/>
  <c r="H171" i="26"/>
  <c r="G171" i="26"/>
  <c r="H170" i="26"/>
  <c r="G170" i="26"/>
  <c r="H169" i="26"/>
  <c r="G169" i="26"/>
  <c r="H168" i="26"/>
  <c r="G168" i="26"/>
  <c r="H167" i="26"/>
  <c r="G167" i="26"/>
  <c r="H166" i="26"/>
  <c r="G166" i="26"/>
  <c r="H165" i="26"/>
  <c r="G165" i="26"/>
  <c r="H164" i="26"/>
  <c r="G164" i="26"/>
  <c r="H163" i="26"/>
  <c r="G163" i="26"/>
  <c r="H162" i="26"/>
  <c r="G162" i="26"/>
  <c r="H161" i="26"/>
  <c r="G161" i="26"/>
  <c r="H160" i="26"/>
  <c r="G160" i="26"/>
  <c r="H159" i="26"/>
  <c r="G159" i="26"/>
  <c r="H158" i="26"/>
  <c r="G158" i="26"/>
  <c r="H157" i="26"/>
  <c r="G157" i="26"/>
  <c r="H156" i="26"/>
  <c r="G156" i="26"/>
  <c r="H155" i="26"/>
  <c r="G155" i="26"/>
  <c r="H154" i="26"/>
  <c r="G154" i="26"/>
  <c r="H153" i="26"/>
  <c r="G153" i="26"/>
  <c r="H152" i="26"/>
  <c r="G152" i="26"/>
  <c r="H151" i="26"/>
  <c r="G151" i="26"/>
  <c r="H150" i="26"/>
  <c r="G150" i="26"/>
  <c r="H149" i="26"/>
  <c r="G149" i="26"/>
  <c r="H148" i="26"/>
  <c r="G148" i="26"/>
  <c r="H147" i="26"/>
  <c r="G147" i="26"/>
  <c r="H146" i="26"/>
  <c r="G146" i="26"/>
  <c r="H145" i="26"/>
  <c r="G145" i="26"/>
  <c r="H143" i="26"/>
  <c r="G143" i="26"/>
  <c r="H142" i="26"/>
  <c r="G142" i="26"/>
  <c r="H141" i="26"/>
  <c r="G141" i="26"/>
  <c r="H140" i="26"/>
  <c r="G140" i="26"/>
  <c r="H139" i="26"/>
  <c r="G139" i="26"/>
  <c r="H138" i="26"/>
  <c r="G138" i="26"/>
  <c r="H137" i="26"/>
  <c r="G137" i="26"/>
  <c r="H136" i="26"/>
  <c r="G136" i="26"/>
  <c r="H135" i="26"/>
  <c r="G135" i="26"/>
  <c r="H130" i="26"/>
  <c r="G130" i="26"/>
  <c r="H129" i="26"/>
  <c r="G129" i="26"/>
  <c r="H128" i="26"/>
  <c r="G128" i="26"/>
  <c r="H127" i="26"/>
  <c r="G127" i="26"/>
  <c r="H124" i="26"/>
  <c r="G124" i="26"/>
  <c r="H123" i="26"/>
  <c r="G123" i="26"/>
  <c r="H122" i="26"/>
  <c r="G122" i="26"/>
  <c r="H121" i="26"/>
  <c r="G121" i="26"/>
  <c r="H120" i="26"/>
  <c r="G120" i="26"/>
  <c r="H119" i="26"/>
  <c r="G119" i="26"/>
  <c r="H118" i="26"/>
  <c r="G118" i="26"/>
  <c r="H117" i="26"/>
  <c r="G117" i="26"/>
  <c r="H116" i="26"/>
  <c r="G116" i="26"/>
  <c r="H115" i="26"/>
  <c r="G115" i="26"/>
  <c r="H114" i="26"/>
  <c r="G114" i="26"/>
  <c r="H112" i="26"/>
  <c r="G112" i="26"/>
  <c r="H111" i="26"/>
  <c r="G111" i="26"/>
  <c r="H110" i="26"/>
  <c r="G110" i="26"/>
  <c r="H107" i="26"/>
  <c r="G107" i="26"/>
  <c r="H106" i="26"/>
  <c r="G106" i="26"/>
  <c r="H105" i="26"/>
  <c r="G105" i="26"/>
  <c r="H104" i="26"/>
  <c r="G104" i="26"/>
  <c r="H103" i="26"/>
  <c r="G103" i="26"/>
  <c r="H102" i="26"/>
  <c r="G102" i="26"/>
  <c r="H101" i="26"/>
  <c r="G101" i="26"/>
  <c r="H100" i="26"/>
  <c r="G100" i="26"/>
  <c r="H99" i="26"/>
  <c r="G99" i="26"/>
  <c r="H98" i="26"/>
  <c r="G98" i="26"/>
  <c r="H97" i="26"/>
  <c r="G97" i="26"/>
  <c r="H96" i="26"/>
  <c r="G96" i="26"/>
  <c r="H95" i="26"/>
  <c r="G95" i="26"/>
  <c r="H94" i="26"/>
  <c r="G94" i="26"/>
  <c r="H93" i="26"/>
  <c r="G93" i="26"/>
  <c r="H92" i="26"/>
  <c r="G92" i="26"/>
  <c r="H91" i="26"/>
  <c r="G91" i="26"/>
  <c r="H90" i="26"/>
  <c r="G90" i="26"/>
  <c r="H89" i="26"/>
  <c r="G89" i="26"/>
  <c r="H88" i="26"/>
  <c r="G88" i="26"/>
  <c r="H87" i="26"/>
  <c r="G87" i="26"/>
  <c r="H86" i="26"/>
  <c r="G86" i="26"/>
  <c r="H85" i="26"/>
  <c r="G85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7" i="26"/>
  <c r="G77" i="26"/>
  <c r="H76" i="26"/>
  <c r="G76" i="26"/>
  <c r="H75" i="26"/>
  <c r="G75" i="26"/>
  <c r="H74" i="26"/>
  <c r="G74" i="26"/>
  <c r="H73" i="26"/>
  <c r="G73" i="26"/>
  <c r="H72" i="26"/>
  <c r="G72" i="26"/>
  <c r="H68" i="26"/>
  <c r="G68" i="26"/>
  <c r="H67" i="26"/>
  <c r="G67" i="26"/>
  <c r="H66" i="26"/>
  <c r="G66" i="26"/>
  <c r="H64" i="26"/>
  <c r="G64" i="26"/>
  <c r="H63" i="26"/>
  <c r="G63" i="26"/>
  <c r="H62" i="26"/>
  <c r="G62" i="26"/>
  <c r="H61" i="26"/>
  <c r="G61" i="26"/>
  <c r="H59" i="26"/>
  <c r="G59" i="26"/>
  <c r="H58" i="26"/>
  <c r="G58" i="26"/>
  <c r="H57" i="26"/>
  <c r="G57" i="26"/>
  <c r="H56" i="26"/>
  <c r="G56" i="26"/>
  <c r="H55" i="26"/>
  <c r="G55" i="26"/>
  <c r="H54" i="26"/>
  <c r="G54" i="26"/>
  <c r="H53" i="26"/>
  <c r="G53" i="26"/>
  <c r="H52" i="26"/>
  <c r="G52" i="26"/>
  <c r="H51" i="26"/>
  <c r="G51" i="26"/>
  <c r="H50" i="26"/>
  <c r="G50" i="26"/>
  <c r="H49" i="26"/>
  <c r="G49" i="26"/>
  <c r="H48" i="26"/>
  <c r="G48" i="26"/>
  <c r="H47" i="26"/>
  <c r="G47" i="26"/>
  <c r="H46" i="26"/>
  <c r="G46" i="26"/>
  <c r="H45" i="26"/>
  <c r="G45" i="26"/>
  <c r="H44" i="26"/>
  <c r="G44" i="26"/>
  <c r="H43" i="26"/>
  <c r="G43" i="26"/>
  <c r="H42" i="26"/>
  <c r="G42" i="26"/>
  <c r="H41" i="26"/>
  <c r="G41" i="26"/>
  <c r="H40" i="26"/>
  <c r="G40" i="26"/>
  <c r="H39" i="26"/>
  <c r="G39" i="26"/>
  <c r="H38" i="26"/>
  <c r="G38" i="26"/>
  <c r="H37" i="26"/>
  <c r="G37" i="26"/>
  <c r="H36" i="26"/>
  <c r="G36" i="26"/>
  <c r="H35" i="26"/>
  <c r="G35" i="26"/>
  <c r="H34" i="26"/>
  <c r="G34" i="26"/>
  <c r="H33" i="26"/>
  <c r="G33" i="26"/>
  <c r="H32" i="26"/>
  <c r="G32" i="26"/>
  <c r="H31" i="26"/>
  <c r="G31" i="26"/>
  <c r="H30" i="26"/>
  <c r="G30" i="26"/>
  <c r="H29" i="26"/>
  <c r="G29" i="26"/>
  <c r="H28" i="26"/>
  <c r="G28" i="26"/>
  <c r="H27" i="26"/>
  <c r="G27" i="26"/>
  <c r="H26" i="26"/>
  <c r="G26" i="26"/>
  <c r="H25" i="26"/>
  <c r="G25" i="26"/>
  <c r="H24" i="26"/>
  <c r="G24" i="26"/>
  <c r="H23" i="26"/>
  <c r="G23" i="26"/>
  <c r="H22" i="26"/>
  <c r="G22" i="26"/>
  <c r="H21" i="26"/>
  <c r="G21" i="26"/>
  <c r="H20" i="26"/>
  <c r="G20" i="26"/>
  <c r="H19" i="26"/>
  <c r="G19" i="26"/>
  <c r="H18" i="26"/>
  <c r="G18" i="26"/>
  <c r="H17" i="26"/>
  <c r="G17" i="26"/>
  <c r="H16" i="26"/>
  <c r="G16" i="26"/>
  <c r="H15" i="26"/>
  <c r="G15" i="26"/>
  <c r="H14" i="26"/>
  <c r="G14" i="26"/>
  <c r="H13" i="26"/>
  <c r="G13" i="26"/>
  <c r="H12" i="26"/>
  <c r="G12" i="26"/>
  <c r="H11" i="26"/>
  <c r="G11" i="26"/>
  <c r="F10" i="26"/>
  <c r="E10" i="26"/>
  <c r="D10" i="26"/>
  <c r="H126" i="26" l="1"/>
  <c r="M29" i="26"/>
  <c r="G126" i="26"/>
  <c r="G313" i="26"/>
  <c r="G134" i="26"/>
  <c r="G113" i="26"/>
  <c r="F92" i="14"/>
  <c r="F106" i="14"/>
  <c r="F84" i="14"/>
  <c r="D87" i="14"/>
  <c r="F87" i="14" s="1"/>
  <c r="D83" i="14"/>
  <c r="F83" i="14" s="1"/>
  <c r="D81" i="14"/>
  <c r="F81" i="14" s="1"/>
  <c r="C6" i="24"/>
  <c r="C91" i="14"/>
  <c r="C18" i="27" l="1"/>
  <c r="C75" i="14" s="1"/>
  <c r="D24" i="27"/>
  <c r="E24" i="27"/>
  <c r="D15" i="27"/>
  <c r="E15" i="27"/>
  <c r="C15" i="27"/>
  <c r="C14" i="27" s="1"/>
  <c r="C73" i="14" s="1"/>
  <c r="D35" i="27"/>
  <c r="E96" i="14" s="1"/>
  <c r="E35" i="27"/>
  <c r="D96" i="14" s="1"/>
  <c r="F96" i="14" s="1"/>
  <c r="C35" i="27"/>
  <c r="C96" i="14" s="1"/>
  <c r="C97" i="14"/>
  <c r="C182" i="27"/>
  <c r="C100" i="14" s="1"/>
  <c r="D182" i="27"/>
  <c r="E100" i="14" s="1"/>
  <c r="E182" i="27"/>
  <c r="D100" i="14" s="1"/>
  <c r="F100" i="14" s="1"/>
  <c r="D92" i="27"/>
  <c r="D23" i="27"/>
  <c r="E23" i="27"/>
  <c r="D22" i="27"/>
  <c r="E22" i="27"/>
  <c r="E20" i="27"/>
  <c r="D19" i="27"/>
  <c r="E19" i="27"/>
  <c r="D16" i="27"/>
  <c r="D11" i="27"/>
  <c r="E11" i="27"/>
  <c r="D12" i="27"/>
  <c r="E12" i="27"/>
  <c r="D13" i="27"/>
  <c r="E13" i="27"/>
  <c r="D10" i="27"/>
  <c r="E10" i="27"/>
  <c r="D9" i="27"/>
  <c r="E9" i="27"/>
  <c r="H116" i="14"/>
  <c r="G116" i="14"/>
  <c r="H113" i="14"/>
  <c r="G113" i="14"/>
  <c r="H112" i="14"/>
  <c r="G112" i="14"/>
  <c r="H111" i="14"/>
  <c r="G111" i="14"/>
  <c r="H110" i="14"/>
  <c r="G110" i="14"/>
  <c r="F109" i="14"/>
  <c r="H109" i="14" s="1"/>
  <c r="E109" i="14"/>
  <c r="D109" i="14"/>
  <c r="C109" i="14"/>
  <c r="H108" i="14"/>
  <c r="H107" i="14"/>
  <c r="G107" i="14"/>
  <c r="H106" i="14"/>
  <c r="G106" i="14"/>
  <c r="H105" i="14"/>
  <c r="G105" i="14"/>
  <c r="F104" i="14"/>
  <c r="F114" i="14" s="1"/>
  <c r="E104" i="14"/>
  <c r="D104" i="14"/>
  <c r="D114" i="14" s="1"/>
  <c r="C104" i="14"/>
  <c r="H101" i="14"/>
  <c r="G101" i="14"/>
  <c r="H99" i="14"/>
  <c r="G99" i="14"/>
  <c r="H98" i="14"/>
  <c r="G98" i="14"/>
  <c r="F97" i="14"/>
  <c r="G97" i="14" s="1"/>
  <c r="H95" i="14"/>
  <c r="G95" i="14"/>
  <c r="H92" i="14"/>
  <c r="G92" i="14"/>
  <c r="F91" i="14"/>
  <c r="E91" i="14"/>
  <c r="D91" i="14"/>
  <c r="H88" i="14"/>
  <c r="G88" i="14"/>
  <c r="H87" i="14"/>
  <c r="G87" i="14"/>
  <c r="H84" i="14"/>
  <c r="G84" i="14"/>
  <c r="H83" i="14"/>
  <c r="G83" i="14"/>
  <c r="H81" i="14"/>
  <c r="G81" i="14"/>
  <c r="H80" i="14"/>
  <c r="G80" i="14"/>
  <c r="E79" i="14"/>
  <c r="E76" i="14" s="1"/>
  <c r="F78" i="14"/>
  <c r="G78" i="14" s="1"/>
  <c r="F77" i="14"/>
  <c r="F74" i="14"/>
  <c r="H74" i="14" s="1"/>
  <c r="E31" i="27"/>
  <c r="D31" i="27"/>
  <c r="D30" i="27" s="1"/>
  <c r="C31" i="27"/>
  <c r="E26" i="27"/>
  <c r="D26" i="27"/>
  <c r="C26" i="27"/>
  <c r="G96" i="14" l="1"/>
  <c r="G100" i="14"/>
  <c r="D94" i="14"/>
  <c r="D93" i="14" s="1"/>
  <c r="D102" i="14" s="1"/>
  <c r="G74" i="14"/>
  <c r="C94" i="14"/>
  <c r="C93" i="14" s="1"/>
  <c r="C102" i="14" s="1"/>
  <c r="E94" i="14"/>
  <c r="E93" i="14" s="1"/>
  <c r="E102" i="14" s="1"/>
  <c r="D18" i="27"/>
  <c r="E75" i="14" s="1"/>
  <c r="D14" i="27"/>
  <c r="E73" i="14" s="1"/>
  <c r="E18" i="27"/>
  <c r="D75" i="14" s="1"/>
  <c r="F75" i="14" s="1"/>
  <c r="D34" i="27"/>
  <c r="E14" i="27"/>
  <c r="D73" i="14" s="1"/>
  <c r="F73" i="14" s="1"/>
  <c r="F94" i="14"/>
  <c r="F93" i="14" s="1"/>
  <c r="G91" i="14"/>
  <c r="G108" i="14"/>
  <c r="C71" i="14"/>
  <c r="C114" i="14"/>
  <c r="E114" i="14"/>
  <c r="G9" i="27"/>
  <c r="C8" i="27"/>
  <c r="C7" i="27" s="1"/>
  <c r="F9" i="27"/>
  <c r="D8" i="27"/>
  <c r="E72" i="14" s="1"/>
  <c r="E8" i="27"/>
  <c r="D72" i="14" s="1"/>
  <c r="C34" i="27"/>
  <c r="C30" i="27" s="1"/>
  <c r="H77" i="14"/>
  <c r="G77" i="14"/>
  <c r="H78" i="14"/>
  <c r="H91" i="14"/>
  <c r="H96" i="14"/>
  <c r="H97" i="14"/>
  <c r="H100" i="14"/>
  <c r="H104" i="14"/>
  <c r="G109" i="14"/>
  <c r="G104" i="14"/>
  <c r="E34" i="27"/>
  <c r="E30" i="27" s="1"/>
  <c r="G75" i="14" l="1"/>
  <c r="G93" i="14"/>
  <c r="G73" i="14"/>
  <c r="E71" i="14"/>
  <c r="E89" i="14" s="1"/>
  <c r="E115" i="14" s="1"/>
  <c r="E117" i="14" s="1"/>
  <c r="H73" i="14"/>
  <c r="H75" i="14"/>
  <c r="F72" i="14"/>
  <c r="D71" i="14"/>
  <c r="D7" i="27"/>
  <c r="G8" i="27"/>
  <c r="F102" i="14"/>
  <c r="H102" i="14" s="1"/>
  <c r="H94" i="14"/>
  <c r="G94" i="14"/>
  <c r="H93" i="14"/>
  <c r="H114" i="14"/>
  <c r="G114" i="14"/>
  <c r="F8" i="27"/>
  <c r="E7" i="27"/>
  <c r="G102" i="14" l="1"/>
  <c r="G72" i="14"/>
  <c r="F71" i="14"/>
  <c r="H72" i="14"/>
  <c r="F77" i="26"/>
  <c r="F334" i="26"/>
  <c r="F81" i="26"/>
  <c r="G71" i="14" l="1"/>
  <c r="H71" i="14"/>
  <c r="D66" i="14"/>
  <c r="D86" i="14" s="1"/>
  <c r="F86" i="14" s="1"/>
  <c r="D59" i="14"/>
  <c r="D82" i="14" s="1"/>
  <c r="F82" i="14" l="1"/>
  <c r="G86" i="14"/>
  <c r="H86" i="14"/>
  <c r="F111" i="22"/>
  <c r="F86" i="22"/>
  <c r="H82" i="14" l="1"/>
  <c r="G82" i="14"/>
  <c r="F52" i="22"/>
  <c r="F46" i="22" s="1"/>
  <c r="F297" i="26"/>
  <c r="I25" i="22" l="1"/>
  <c r="F332" i="26"/>
  <c r="F299" i="26" l="1"/>
  <c r="F319" i="26"/>
  <c r="F223" i="26" l="1"/>
  <c r="C138" i="14" l="1"/>
  <c r="D139" i="14"/>
  <c r="D143" i="14" s="1"/>
  <c r="F139" i="14"/>
  <c r="E374" i="26" l="1"/>
  <c r="E372" i="26" s="1"/>
  <c r="F374" i="26"/>
  <c r="F372" i="26" s="1"/>
  <c r="F123" i="26" l="1"/>
  <c r="F55" i="26" l="1"/>
  <c r="F14" i="26" l="1"/>
  <c r="F72" i="26"/>
  <c r="F28" i="26" l="1"/>
  <c r="F316" i="26" l="1"/>
  <c r="F121" i="26" l="1"/>
  <c r="F115" i="26"/>
  <c r="F91" i="26" l="1"/>
  <c r="F107" i="26"/>
  <c r="F90" i="26"/>
  <c r="F99" i="26"/>
  <c r="F98" i="26"/>
  <c r="F92" i="26"/>
  <c r="F83" i="26"/>
  <c r="F362" i="26" l="1"/>
  <c r="F359" i="26"/>
  <c r="F363" i="26"/>
  <c r="F341" i="26"/>
  <c r="F338" i="26"/>
  <c r="F347" i="26"/>
  <c r="F344" i="26"/>
  <c r="F337" i="26"/>
  <c r="F50" i="26" l="1"/>
  <c r="F49" i="26"/>
  <c r="F51" i="26"/>
  <c r="F44" i="26"/>
  <c r="F43" i="26"/>
  <c r="F42" i="26"/>
  <c r="F277" i="26"/>
  <c r="F276" i="26"/>
  <c r="F34" i="26"/>
  <c r="F22" i="26"/>
  <c r="F25" i="26"/>
  <c r="F33" i="26"/>
  <c r="F24" i="26"/>
  <c r="F21" i="26"/>
  <c r="F29" i="26"/>
  <c r="F26" i="26"/>
  <c r="F39" i="26"/>
  <c r="F32" i="26"/>
  <c r="F31" i="26"/>
  <c r="F20" i="26" l="1"/>
  <c r="F47" i="26"/>
  <c r="N107" i="9"/>
  <c r="N108" i="9"/>
  <c r="N109" i="9"/>
  <c r="N110" i="9"/>
  <c r="N106" i="9"/>
  <c r="M106" i="9"/>
  <c r="M107" i="9"/>
  <c r="M108" i="9"/>
  <c r="M109" i="9"/>
  <c r="M110" i="9"/>
  <c r="H105" i="9"/>
  <c r="I105" i="9"/>
  <c r="J105" i="9"/>
  <c r="K105" i="9"/>
  <c r="L105" i="9"/>
  <c r="G105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H33" i="9"/>
  <c r="I33" i="9"/>
  <c r="J33" i="9"/>
  <c r="K33" i="9"/>
  <c r="L33" i="9"/>
  <c r="G33" i="9"/>
  <c r="H111" i="9" l="1"/>
  <c r="J111" i="9"/>
  <c r="M105" i="9"/>
  <c r="N105" i="9"/>
  <c r="I7" i="9"/>
  <c r="J7" i="9"/>
  <c r="K7" i="9"/>
  <c r="K111" i="9" s="1"/>
  <c r="L7" i="9"/>
  <c r="L111" i="9" s="1"/>
  <c r="N9" i="9" l="1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G106" i="24" l="1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138" i="24"/>
  <c r="G139" i="24"/>
  <c r="G140" i="24"/>
  <c r="G141" i="24"/>
  <c r="G142" i="24"/>
  <c r="G143" i="24"/>
  <c r="G144" i="24"/>
  <c r="G145" i="24"/>
  <c r="G146" i="24"/>
  <c r="G147" i="24"/>
  <c r="G148" i="24"/>
  <c r="G149" i="24"/>
  <c r="G150" i="24"/>
  <c r="G151" i="24"/>
  <c r="G152" i="24"/>
  <c r="G153" i="24"/>
  <c r="G154" i="24"/>
  <c r="G155" i="24"/>
  <c r="G156" i="24"/>
  <c r="G157" i="24"/>
  <c r="G158" i="24"/>
  <c r="G159" i="24"/>
  <c r="G160" i="24"/>
  <c r="G161" i="24"/>
  <c r="G162" i="24"/>
  <c r="G163" i="24"/>
  <c r="G164" i="24"/>
  <c r="G165" i="24"/>
  <c r="G166" i="24"/>
  <c r="G167" i="24"/>
  <c r="G168" i="24"/>
  <c r="G169" i="24"/>
  <c r="G170" i="24"/>
  <c r="G171" i="24"/>
  <c r="G172" i="24"/>
  <c r="G173" i="24"/>
  <c r="G174" i="24"/>
  <c r="G175" i="24"/>
  <c r="G176" i="24"/>
  <c r="G177" i="24"/>
  <c r="G178" i="24"/>
  <c r="G179" i="24"/>
  <c r="G180" i="24"/>
  <c r="G181" i="24"/>
  <c r="G182" i="24"/>
  <c r="G183" i="24"/>
  <c r="G184" i="24"/>
  <c r="G185" i="24"/>
  <c r="G186" i="24"/>
  <c r="G187" i="24"/>
  <c r="G188" i="24"/>
  <c r="G189" i="24"/>
  <c r="G190" i="24"/>
  <c r="G191" i="24"/>
  <c r="G192" i="24"/>
  <c r="G193" i="24"/>
  <c r="G194" i="24"/>
  <c r="G195" i="24"/>
  <c r="G196" i="24"/>
  <c r="G197" i="24"/>
  <c r="G198" i="24"/>
  <c r="G199" i="24"/>
  <c r="G200" i="24"/>
  <c r="G201" i="24"/>
  <c r="G202" i="24"/>
  <c r="G203" i="24"/>
  <c r="G204" i="24"/>
  <c r="G205" i="24"/>
  <c r="G206" i="24"/>
  <c r="G207" i="24"/>
  <c r="G208" i="24"/>
  <c r="G209" i="24"/>
  <c r="G210" i="24"/>
  <c r="G211" i="24"/>
  <c r="G212" i="24"/>
  <c r="G213" i="24"/>
  <c r="G214" i="24"/>
  <c r="G215" i="24"/>
  <c r="G216" i="24"/>
  <c r="G217" i="24"/>
  <c r="G218" i="24"/>
  <c r="G219" i="24"/>
  <c r="G220" i="24"/>
  <c r="G221" i="24"/>
  <c r="G222" i="24"/>
  <c r="G223" i="24"/>
  <c r="G225" i="24"/>
  <c r="G226" i="24"/>
  <c r="G227" i="24"/>
  <c r="G228" i="24"/>
  <c r="G229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E80" i="24"/>
  <c r="E224" i="24" l="1"/>
  <c r="D6" i="24"/>
  <c r="E6" i="24"/>
  <c r="C145" i="14" l="1"/>
  <c r="C143" i="14"/>
  <c r="D86" i="22" l="1"/>
  <c r="D38" i="22"/>
  <c r="D13" i="22"/>
  <c r="D252" i="26"/>
  <c r="M22" i="9"/>
  <c r="D224" i="24"/>
  <c r="G224" i="24" s="1"/>
  <c r="E145" i="14"/>
  <c r="E144" i="14"/>
  <c r="E143" i="14"/>
  <c r="E247" i="26" l="1"/>
  <c r="E221" i="26"/>
  <c r="E231" i="26"/>
  <c r="E241" i="26"/>
  <c r="E246" i="26" l="1"/>
  <c r="E220" i="26"/>
  <c r="D374" i="26"/>
  <c r="D372" i="26" s="1"/>
  <c r="D227" i="26"/>
  <c r="F130" i="24" l="1"/>
  <c r="H124" i="14"/>
  <c r="G124" i="14"/>
  <c r="H123" i="14"/>
  <c r="G123" i="14"/>
  <c r="F223" i="24"/>
  <c r="F222" i="24"/>
  <c r="F221" i="24"/>
  <c r="F220" i="24"/>
  <c r="F219" i="24"/>
  <c r="F218" i="24"/>
  <c r="F217" i="24"/>
  <c r="F216" i="24"/>
  <c r="F215" i="24"/>
  <c r="F214" i="24"/>
  <c r="F213" i="24"/>
  <c r="F212" i="24"/>
  <c r="F211" i="24"/>
  <c r="F210" i="24"/>
  <c r="F209" i="24"/>
  <c r="F208" i="24"/>
  <c r="F207" i="24"/>
  <c r="F206" i="24"/>
  <c r="F205" i="24"/>
  <c r="F204" i="24"/>
  <c r="F178" i="24"/>
  <c r="F177" i="24"/>
  <c r="F176" i="24"/>
  <c r="F175" i="24"/>
  <c r="F174" i="24"/>
  <c r="F173" i="24"/>
  <c r="F172" i="24"/>
  <c r="F171" i="24"/>
  <c r="F170" i="24"/>
  <c r="F169" i="24"/>
  <c r="F168" i="24"/>
  <c r="F167" i="24"/>
  <c r="F166" i="24"/>
  <c r="F165" i="24"/>
  <c r="F164" i="24"/>
  <c r="F163" i="24"/>
  <c r="F162" i="24"/>
  <c r="F161" i="24"/>
  <c r="F160" i="24"/>
  <c r="F159" i="24"/>
  <c r="F158" i="24"/>
  <c r="F157" i="24"/>
  <c r="F156" i="24"/>
  <c r="F155" i="24"/>
  <c r="F154" i="24"/>
  <c r="F153" i="24"/>
  <c r="F152" i="24"/>
  <c r="F151" i="24"/>
  <c r="F150" i="24"/>
  <c r="F149" i="24"/>
  <c r="F148" i="24"/>
  <c r="F147" i="24"/>
  <c r="F146" i="24"/>
  <c r="F145" i="24"/>
  <c r="F144" i="24"/>
  <c r="F143" i="24"/>
  <c r="F142" i="24"/>
  <c r="F141" i="24"/>
  <c r="F140" i="24"/>
  <c r="F139" i="24"/>
  <c r="F138" i="24"/>
  <c r="F137" i="24"/>
  <c r="F136" i="24"/>
  <c r="F135" i="24"/>
  <c r="F134" i="24"/>
  <c r="F133" i="24"/>
  <c r="F132" i="24"/>
  <c r="F131" i="24"/>
  <c r="F129" i="24"/>
  <c r="F128" i="24"/>
  <c r="F127" i="24"/>
  <c r="F125" i="24"/>
  <c r="F124" i="24"/>
  <c r="N104" i="9"/>
  <c r="M104" i="9"/>
  <c r="N103" i="9"/>
  <c r="M103" i="9"/>
  <c r="N94" i="9"/>
  <c r="M94" i="9"/>
  <c r="N93" i="9"/>
  <c r="M93" i="9"/>
  <c r="N92" i="9"/>
  <c r="M92" i="9"/>
  <c r="N91" i="9"/>
  <c r="M91" i="9"/>
  <c r="N90" i="9"/>
  <c r="M90" i="9"/>
  <c r="N89" i="9"/>
  <c r="M89" i="9"/>
  <c r="N88" i="9"/>
  <c r="M88" i="9"/>
  <c r="N87" i="9"/>
  <c r="M87" i="9"/>
  <c r="N86" i="9"/>
  <c r="M86" i="9"/>
  <c r="N85" i="9"/>
  <c r="M85" i="9"/>
  <c r="N84" i="9"/>
  <c r="M84" i="9"/>
  <c r="N83" i="9"/>
  <c r="M83" i="9"/>
  <c r="N82" i="9"/>
  <c r="M82" i="9"/>
  <c r="N81" i="9"/>
  <c r="M81" i="9"/>
  <c r="N80" i="9"/>
  <c r="M80" i="9"/>
  <c r="N79" i="9"/>
  <c r="M79" i="9"/>
  <c r="N78" i="9"/>
  <c r="M78" i="9"/>
  <c r="N77" i="9"/>
  <c r="M77" i="9"/>
  <c r="N76" i="9"/>
  <c r="M76" i="9"/>
  <c r="N75" i="9"/>
  <c r="M75" i="9"/>
  <c r="N74" i="9"/>
  <c r="M74" i="9"/>
  <c r="N73" i="9"/>
  <c r="M73" i="9"/>
  <c r="N72" i="9"/>
  <c r="M72" i="9"/>
  <c r="N71" i="9"/>
  <c r="M71" i="9"/>
  <c r="N70" i="9"/>
  <c r="M70" i="9"/>
  <c r="N69" i="9"/>
  <c r="M69" i="9"/>
  <c r="N68" i="9"/>
  <c r="M68" i="9"/>
  <c r="N67" i="9"/>
  <c r="M67" i="9"/>
  <c r="N66" i="9"/>
  <c r="M66" i="9"/>
  <c r="N65" i="9"/>
  <c r="M65" i="9"/>
  <c r="N64" i="9"/>
  <c r="M64" i="9"/>
  <c r="N63" i="9"/>
  <c r="M63" i="9"/>
  <c r="N62" i="9"/>
  <c r="M62" i="9"/>
  <c r="N61" i="9"/>
  <c r="M61" i="9"/>
  <c r="N60" i="9"/>
  <c r="M60" i="9"/>
  <c r="N59" i="9"/>
  <c r="M59" i="9"/>
  <c r="N58" i="9"/>
  <c r="M58" i="9"/>
  <c r="N57" i="9"/>
  <c r="M57" i="9"/>
  <c r="N56" i="9"/>
  <c r="M56" i="9"/>
  <c r="N55" i="9"/>
  <c r="M55" i="9"/>
  <c r="N54" i="9"/>
  <c r="M54" i="9"/>
  <c r="N53" i="9"/>
  <c r="M53" i="9"/>
  <c r="N52" i="9"/>
  <c r="M52" i="9"/>
  <c r="M23" i="9"/>
  <c r="M21" i="9"/>
  <c r="M20" i="9"/>
  <c r="M19" i="9"/>
  <c r="M18" i="9"/>
  <c r="M17" i="9"/>
  <c r="M16" i="9"/>
  <c r="M15" i="9"/>
  <c r="M14" i="9"/>
  <c r="M13" i="9"/>
  <c r="M12" i="9"/>
  <c r="O12" i="9" s="1"/>
  <c r="M10" i="9"/>
  <c r="M9" i="9"/>
  <c r="N8" i="9"/>
  <c r="M8" i="9"/>
  <c r="E286" i="26"/>
  <c r="E285" i="26" s="1"/>
  <c r="E283" i="26" s="1"/>
  <c r="M33" i="9" l="1"/>
  <c r="P12" i="9"/>
  <c r="E81" i="22" l="1"/>
  <c r="E46" i="22" l="1"/>
  <c r="E7" i="22" l="1"/>
  <c r="D7" i="22"/>
  <c r="F323" i="26" l="1"/>
  <c r="E323" i="26"/>
  <c r="E321" i="26" s="1"/>
  <c r="D323" i="26"/>
  <c r="D322" i="26" s="1"/>
  <c r="D320" i="26" s="1"/>
  <c r="E320" i="26"/>
  <c r="F322" i="26" l="1"/>
  <c r="F320" i="26" s="1"/>
  <c r="E239" i="26" l="1"/>
  <c r="E20" i="26" l="1"/>
  <c r="D20" i="26"/>
  <c r="D61" i="26" l="1"/>
  <c r="F13" i="22"/>
  <c r="E138" i="14" l="1"/>
  <c r="E134" i="14"/>
  <c r="F231" i="26" l="1"/>
  <c r="L41" i="26" l="1"/>
  <c r="K238" i="26"/>
  <c r="M15" i="26"/>
  <c r="M35" i="26" s="1"/>
  <c r="H231" i="26"/>
  <c r="G231" i="26"/>
  <c r="F225" i="24"/>
  <c r="F132" i="14"/>
  <c r="F131" i="14"/>
  <c r="F143" i="14" s="1"/>
  <c r="F125" i="14"/>
  <c r="F53" i="14"/>
  <c r="H125" i="14" l="1"/>
  <c r="G125" i="14"/>
  <c r="D55" i="14"/>
  <c r="D85" i="14" s="1"/>
  <c r="F85" i="14" l="1"/>
  <c r="D79" i="14"/>
  <c r="D76" i="14" s="1"/>
  <c r="D89" i="14" s="1"/>
  <c r="D115" i="14" s="1"/>
  <c r="D117" i="14" s="1"/>
  <c r="F312" i="26"/>
  <c r="H312" i="26" l="1"/>
  <c r="G312" i="26"/>
  <c r="H85" i="14"/>
  <c r="G85" i="14"/>
  <c r="F79" i="14"/>
  <c r="E249" i="26"/>
  <c r="H79" i="14" l="1"/>
  <c r="F76" i="14"/>
  <c r="G79" i="14"/>
  <c r="F221" i="26"/>
  <c r="M11" i="26" l="1"/>
  <c r="M31" i="26" s="1"/>
  <c r="H221" i="26"/>
  <c r="G221" i="26"/>
  <c r="H76" i="14"/>
  <c r="G76" i="14"/>
  <c r="F89" i="14"/>
  <c r="F220" i="26"/>
  <c r="F108" i="26"/>
  <c r="F280" i="26"/>
  <c r="G220" i="26" l="1"/>
  <c r="H220" i="26"/>
  <c r="F115" i="14"/>
  <c r="G89" i="14"/>
  <c r="H89" i="14"/>
  <c r="F117" i="14" l="1"/>
  <c r="H115" i="14"/>
  <c r="G115" i="14"/>
  <c r="F41" i="26"/>
  <c r="H117" i="14" l="1"/>
  <c r="G117" i="14"/>
  <c r="F40" i="26"/>
  <c r="E47" i="26" l="1"/>
  <c r="E33" i="9"/>
  <c r="F33" i="9"/>
  <c r="N33" i="9" s="1"/>
  <c r="E7" i="9"/>
  <c r="F7" i="9"/>
  <c r="N7" i="9" s="1"/>
  <c r="G7" i="9"/>
  <c r="G111" i="9" s="1"/>
  <c r="N111" i="9" l="1"/>
  <c r="E40" i="26"/>
  <c r="E9" i="26"/>
  <c r="E71" i="26"/>
  <c r="E5" i="24" l="1"/>
  <c r="F224" i="24"/>
  <c r="E86" i="22" l="1"/>
  <c r="D46" i="22" l="1"/>
  <c r="D25" i="22"/>
  <c r="D312" i="26"/>
  <c r="D289" i="26"/>
  <c r="D288" i="26" s="1"/>
  <c r="D283" i="26" s="1"/>
  <c r="D208" i="26"/>
  <c r="E57" i="26"/>
  <c r="F57" i="26"/>
  <c r="D57" i="26"/>
  <c r="C80" i="24"/>
  <c r="D54" i="26" l="1"/>
  <c r="F54" i="26"/>
  <c r="D293" i="26"/>
  <c r="D291" i="26" s="1"/>
  <c r="F60" i="14" l="1"/>
  <c r="F67" i="14" l="1"/>
  <c r="F81" i="22" l="1"/>
  <c r="F9" i="26" l="1"/>
  <c r="E268" i="26"/>
  <c r="E267" i="26" s="1"/>
  <c r="E265" i="26" s="1"/>
  <c r="F267" i="26"/>
  <c r="F265" i="26" s="1"/>
  <c r="D268" i="26"/>
  <c r="D267" i="26" s="1"/>
  <c r="D265" i="26" s="1"/>
  <c r="F7" i="26" l="1"/>
  <c r="F125" i="26" l="1"/>
  <c r="M24" i="26" s="1"/>
  <c r="F274" i="26" l="1"/>
  <c r="F239" i="26"/>
  <c r="H274" i="26" l="1"/>
  <c r="G274" i="26"/>
  <c r="D216" i="26"/>
  <c r="D215" i="26" s="1"/>
  <c r="C22" i="14"/>
  <c r="G67" i="14" l="1"/>
  <c r="G65" i="14"/>
  <c r="G63" i="14"/>
  <c r="G62" i="14"/>
  <c r="G61" i="14"/>
  <c r="G60" i="14"/>
  <c r="G58" i="14"/>
  <c r="G56" i="14"/>
  <c r="G54" i="14"/>
  <c r="G53" i="14"/>
  <c r="H126" i="14"/>
  <c r="G126" i="14"/>
  <c r="H9" i="22" l="1"/>
  <c r="G9" i="22"/>
  <c r="F41" i="14" l="1"/>
  <c r="F66" i="26" l="1"/>
  <c r="F64" i="26" l="1"/>
  <c r="F122" i="14"/>
  <c r="F121" i="14"/>
  <c r="F111" i="9"/>
  <c r="I111" i="9"/>
  <c r="E111" i="9"/>
  <c r="H121" i="14" l="1"/>
  <c r="G121" i="14"/>
  <c r="G122" i="14"/>
  <c r="H122" i="14"/>
  <c r="D140" i="14" l="1"/>
  <c r="D141" i="14"/>
  <c r="C134" i="14"/>
  <c r="F141" i="14" l="1"/>
  <c r="F145" i="14" s="1"/>
  <c r="D145" i="14"/>
  <c r="F140" i="14"/>
  <c r="F144" i="14" s="1"/>
  <c r="D144" i="14"/>
  <c r="F38" i="14"/>
  <c r="F368" i="26" l="1"/>
  <c r="F293" i="26"/>
  <c r="F383" i="26"/>
  <c r="M21" i="26" l="1"/>
  <c r="H383" i="26"/>
  <c r="G383" i="26"/>
  <c r="H293" i="26"/>
  <c r="G293" i="26"/>
  <c r="F291" i="26"/>
  <c r="F382" i="26"/>
  <c r="M17" i="26" l="1"/>
  <c r="H382" i="26"/>
  <c r="G382" i="26"/>
  <c r="H291" i="26"/>
  <c r="G291" i="26"/>
  <c r="F71" i="26"/>
  <c r="H71" i="26" l="1"/>
  <c r="G71" i="26"/>
  <c r="E61" i="26"/>
  <c r="E140" i="26"/>
  <c r="E134" i="26"/>
  <c r="E291" i="26"/>
  <c r="D383" i="26"/>
  <c r="E204" i="26"/>
  <c r="F327" i="26" l="1"/>
  <c r="E59" i="26"/>
  <c r="E133" i="26"/>
  <c r="E131" i="26" s="1"/>
  <c r="H327" i="26" l="1"/>
  <c r="G327" i="26"/>
  <c r="E383" i="26"/>
  <c r="E382" i="26" l="1"/>
  <c r="E66" i="26"/>
  <c r="E64" i="26" l="1"/>
  <c r="E54" i="26"/>
  <c r="F352" i="26" l="1"/>
  <c r="F351" i="26" s="1"/>
  <c r="F325" i="26" l="1"/>
  <c r="H351" i="26"/>
  <c r="G351" i="26"/>
  <c r="H325" i="26"/>
  <c r="G325" i="26"/>
  <c r="E125" i="26"/>
  <c r="F69" i="26"/>
  <c r="E108" i="26"/>
  <c r="D80" i="24"/>
  <c r="G80" i="24" l="1"/>
  <c r="F80" i="24"/>
  <c r="H125" i="26"/>
  <c r="G125" i="26"/>
  <c r="H108" i="26"/>
  <c r="G108" i="26"/>
  <c r="E69" i="26"/>
  <c r="C224" i="24"/>
  <c r="C5" i="24" s="1"/>
  <c r="H69" i="26" l="1"/>
  <c r="G69" i="26"/>
  <c r="E111" i="22"/>
  <c r="D32" i="22"/>
  <c r="D81" i="22"/>
  <c r="D111" i="22"/>
  <c r="D251" i="26" l="1"/>
  <c r="D249" i="26" s="1"/>
  <c r="D200" i="26"/>
  <c r="D198" i="26" s="1"/>
  <c r="D145" i="26"/>
  <c r="D133" i="26" l="1"/>
  <c r="D131" i="26" s="1"/>
  <c r="D59" i="26" l="1"/>
  <c r="F140" i="26" l="1"/>
  <c r="H8" i="22"/>
  <c r="G8" i="22"/>
  <c r="F251" i="26" l="1"/>
  <c r="H251" i="26" l="1"/>
  <c r="G251" i="26"/>
  <c r="F249" i="26"/>
  <c r="H249" i="26" l="1"/>
  <c r="G249" i="26"/>
  <c r="D382" i="26"/>
  <c r="C140" i="14" l="1"/>
  <c r="C144" i="14" s="1"/>
  <c r="F66" i="14"/>
  <c r="G66" i="14" s="1"/>
  <c r="F59" i="14"/>
  <c r="C59" i="14"/>
  <c r="C57" i="14" s="1"/>
  <c r="F55" i="14"/>
  <c r="G55" i="14" s="1"/>
  <c r="C55" i="14"/>
  <c r="C78" i="14" s="1"/>
  <c r="C76" i="14" s="1"/>
  <c r="C89" i="14" s="1"/>
  <c r="C115" i="14" s="1"/>
  <c r="C117" i="14" s="1"/>
  <c r="F46" i="14"/>
  <c r="F138" i="14" s="1"/>
  <c r="F47" i="14"/>
  <c r="F49" i="14"/>
  <c r="G49" i="14" s="1"/>
  <c r="F17" i="14"/>
  <c r="F18" i="14"/>
  <c r="F19" i="14"/>
  <c r="F20" i="14"/>
  <c r="F21" i="14"/>
  <c r="F23" i="14"/>
  <c r="F24" i="14"/>
  <c r="F26" i="14"/>
  <c r="F27" i="14"/>
  <c r="F28" i="14"/>
  <c r="F29" i="14"/>
  <c r="F30" i="14"/>
  <c r="F32" i="14"/>
  <c r="F33" i="14"/>
  <c r="F34" i="14"/>
  <c r="H34" i="14" s="1"/>
  <c r="F35" i="14"/>
  <c r="F37" i="14"/>
  <c r="F40" i="14"/>
  <c r="F10" i="14"/>
  <c r="F11" i="14"/>
  <c r="F12" i="14"/>
  <c r="F14" i="14"/>
  <c r="F8" i="14"/>
  <c r="G59" i="14" l="1"/>
  <c r="H59" i="14"/>
  <c r="E25" i="22"/>
  <c r="D380" i="26" l="1"/>
  <c r="E380" i="26"/>
  <c r="E379" i="26" l="1"/>
  <c r="E377" i="26" s="1"/>
  <c r="D379" i="26"/>
  <c r="D377" i="26" s="1"/>
  <c r="D182" i="26"/>
  <c r="F25" i="22" l="1"/>
  <c r="F204" i="26" l="1"/>
  <c r="F193" i="26" l="1"/>
  <c r="F201" i="26"/>
  <c r="F200" i="26" l="1"/>
  <c r="F198" i="26" l="1"/>
  <c r="F133" i="26"/>
  <c r="F61" i="26"/>
  <c r="F131" i="26" l="1"/>
  <c r="G133" i="26"/>
  <c r="H133" i="26"/>
  <c r="F59" i="26"/>
  <c r="D274" i="26"/>
  <c r="H131" i="26" l="1"/>
  <c r="G131" i="26"/>
  <c r="E335" i="26" l="1"/>
  <c r="D327" i="26" l="1"/>
  <c r="D184" i="26" l="1"/>
  <c r="D280" i="26"/>
  <c r="D279" i="26" l="1"/>
  <c r="D272" i="26" l="1"/>
  <c r="F155" i="26" l="1"/>
  <c r="F145" i="26" l="1"/>
  <c r="E292" i="26"/>
  <c r="F279" i="26" l="1"/>
  <c r="F176" i="26"/>
  <c r="F272" i="26" l="1"/>
  <c r="F380" i="26"/>
  <c r="D13" i="14" s="1"/>
  <c r="D48" i="14" l="1"/>
  <c r="F48" i="14" s="1"/>
  <c r="F13" i="14"/>
  <c r="M14" i="26"/>
  <c r="M34" i="26" s="1"/>
  <c r="M36" i="26" s="1"/>
  <c r="H380" i="26"/>
  <c r="G380" i="26"/>
  <c r="H272" i="26"/>
  <c r="G272" i="26"/>
  <c r="F379" i="26"/>
  <c r="H379" i="26" l="1"/>
  <c r="G379" i="26"/>
  <c r="M10" i="26"/>
  <c r="M8" i="26" s="1"/>
  <c r="F377" i="26"/>
  <c r="E355" i="26"/>
  <c r="D351" i="26"/>
  <c r="D325" i="26" s="1"/>
  <c r="E352" i="26"/>
  <c r="G377" i="26" l="1"/>
  <c r="H377" i="26"/>
  <c r="E351" i="26"/>
  <c r="E328" i="26"/>
  <c r="E327" i="26" l="1"/>
  <c r="E325" i="26" s="1"/>
  <c r="D5" i="24" l="1"/>
  <c r="G5" i="24" s="1"/>
  <c r="D23" i="22" l="1"/>
  <c r="E23" i="22"/>
  <c r="F23" i="22"/>
  <c r="E13" i="22"/>
  <c r="F7" i="22"/>
  <c r="E280" i="26"/>
  <c r="E275" i="26"/>
  <c r="D260" i="26"/>
  <c r="F261" i="26"/>
  <c r="E261" i="26"/>
  <c r="D258" i="26" l="1"/>
  <c r="F6" i="22"/>
  <c r="E260" i="26"/>
  <c r="E274" i="26"/>
  <c r="F260" i="26"/>
  <c r="E279" i="26"/>
  <c r="D6" i="22"/>
  <c r="E6" i="22"/>
  <c r="D238" i="26"/>
  <c r="F241" i="26"/>
  <c r="E238" i="26"/>
  <c r="E218" i="26" s="1"/>
  <c r="E201" i="26"/>
  <c r="F187" i="26"/>
  <c r="E187" i="26"/>
  <c r="E193" i="26"/>
  <c r="E155" i="26"/>
  <c r="F173" i="26"/>
  <c r="E173" i="26"/>
  <c r="K7" i="22" l="1"/>
  <c r="F238" i="26"/>
  <c r="F218" i="26" s="1"/>
  <c r="D220" i="26"/>
  <c r="D218" i="26" s="1"/>
  <c r="E258" i="26"/>
  <c r="E200" i="26"/>
  <c r="E272" i="26"/>
  <c r="E145" i="26"/>
  <c r="G6" i="22"/>
  <c r="H6" i="22"/>
  <c r="F258" i="26"/>
  <c r="H10" i="26"/>
  <c r="G10" i="26"/>
  <c r="F186" i="26"/>
  <c r="E186" i="26"/>
  <c r="E184" i="26" s="1"/>
  <c r="F6" i="26" l="1"/>
  <c r="H218" i="26"/>
  <c r="G218" i="26"/>
  <c r="D7" i="26"/>
  <c r="E198" i="26"/>
  <c r="F184" i="26"/>
  <c r="E7" i="26"/>
  <c r="C25" i="14" l="1"/>
  <c r="F50" i="14"/>
  <c r="E50" i="14"/>
  <c r="D50" i="14"/>
  <c r="C50" i="14"/>
  <c r="H49" i="14"/>
  <c r="H48" i="14"/>
  <c r="G48" i="14"/>
  <c r="H47" i="14"/>
  <c r="G47" i="14"/>
  <c r="H46" i="14"/>
  <c r="G46" i="14"/>
  <c r="H45" i="14"/>
  <c r="G45" i="14"/>
  <c r="C130" i="14"/>
  <c r="C142" i="14" s="1"/>
  <c r="D130" i="14"/>
  <c r="E130" i="14"/>
  <c r="E142" i="14" s="1"/>
  <c r="F130" i="14"/>
  <c r="F142" i="14" s="1"/>
  <c r="F134" i="14"/>
  <c r="G50" i="14" l="1"/>
  <c r="H50" i="14"/>
  <c r="G6" i="24"/>
  <c r="H7" i="22" l="1"/>
  <c r="G7" i="22"/>
  <c r="M7" i="9" l="1"/>
  <c r="F6" i="24"/>
  <c r="H9" i="26"/>
  <c r="G9" i="26"/>
  <c r="P7" i="9" l="1"/>
  <c r="M111" i="9"/>
  <c r="D181" i="26"/>
  <c r="F182" i="26"/>
  <c r="E182" i="26"/>
  <c r="E176" i="26"/>
  <c r="H7" i="26"/>
  <c r="G7" i="26"/>
  <c r="O7" i="9"/>
  <c r="F5" i="24"/>
  <c r="P111" i="9" l="1"/>
  <c r="O111" i="9"/>
  <c r="D143" i="26"/>
  <c r="E181" i="26"/>
  <c r="F172" i="26"/>
  <c r="F181" i="26"/>
  <c r="E172" i="26"/>
  <c r="H120" i="14"/>
  <c r="G120" i="14"/>
  <c r="H53" i="14"/>
  <c r="H54" i="14"/>
  <c r="H55" i="14"/>
  <c r="H56" i="14"/>
  <c r="H58" i="14"/>
  <c r="H60" i="14"/>
  <c r="H61" i="14"/>
  <c r="H62" i="14"/>
  <c r="H63" i="14"/>
  <c r="H65" i="14"/>
  <c r="H66" i="14"/>
  <c r="H67" i="14"/>
  <c r="H10" i="14"/>
  <c r="H11" i="14"/>
  <c r="H12" i="14"/>
  <c r="H13" i="14"/>
  <c r="H14" i="14"/>
  <c r="H17" i="14"/>
  <c r="H18" i="14"/>
  <c r="H19" i="14"/>
  <c r="H20" i="14"/>
  <c r="H21" i="14"/>
  <c r="H23" i="14"/>
  <c r="H24" i="14"/>
  <c r="H26" i="14"/>
  <c r="H27" i="14"/>
  <c r="H28" i="14"/>
  <c r="H29" i="14"/>
  <c r="H30" i="14"/>
  <c r="H32" i="14"/>
  <c r="H33" i="14"/>
  <c r="H35" i="14"/>
  <c r="H37" i="14"/>
  <c r="H38" i="14"/>
  <c r="H40" i="14"/>
  <c r="H41" i="14"/>
  <c r="E143" i="26" l="1"/>
  <c r="F143" i="26"/>
  <c r="H8" i="14"/>
  <c r="G18" i="14"/>
  <c r="G19" i="14"/>
  <c r="G20" i="14"/>
  <c r="G21" i="14"/>
  <c r="G10" i="14"/>
  <c r="G11" i="14"/>
  <c r="G12" i="14"/>
  <c r="G13" i="14"/>
  <c r="G14" i="14"/>
  <c r="G17" i="14"/>
  <c r="G23" i="14"/>
  <c r="G24" i="14"/>
  <c r="G26" i="14"/>
  <c r="G27" i="14"/>
  <c r="G28" i="14"/>
  <c r="G29" i="14"/>
  <c r="G30" i="14"/>
  <c r="G32" i="14"/>
  <c r="G33" i="14"/>
  <c r="G34" i="14"/>
  <c r="G35" i="14"/>
  <c r="G37" i="14"/>
  <c r="G38" i="14"/>
  <c r="G40" i="14"/>
  <c r="G41" i="14"/>
  <c r="G8" i="14"/>
  <c r="H6" i="26" l="1"/>
  <c r="G6" i="26"/>
  <c r="C119" i="14"/>
  <c r="D119" i="14"/>
  <c r="E119" i="14"/>
  <c r="F119" i="14"/>
  <c r="G119" i="14" l="1"/>
  <c r="H119" i="14"/>
  <c r="D57" i="14"/>
  <c r="D52" i="14"/>
  <c r="C52" i="14"/>
  <c r="D64" i="14"/>
  <c r="E64" i="14"/>
  <c r="F64" i="14"/>
  <c r="C64" i="14"/>
  <c r="E57" i="14"/>
  <c r="F57" i="14"/>
  <c r="E52" i="14"/>
  <c r="F52" i="14"/>
  <c r="E25" i="14"/>
  <c r="D22" i="14"/>
  <c r="E22" i="14"/>
  <c r="E42" i="14" s="1"/>
  <c r="C42" i="14"/>
  <c r="G64" i="14" l="1"/>
  <c r="G57" i="14"/>
  <c r="H52" i="14"/>
  <c r="G52" i="14"/>
  <c r="D42" i="14"/>
  <c r="F22" i="14"/>
  <c r="H22" i="14" s="1"/>
  <c r="H64" i="14"/>
  <c r="H57" i="14"/>
  <c r="C68" i="14"/>
  <c r="E68" i="14"/>
  <c r="D68" i="14"/>
  <c r="F68" i="14"/>
  <c r="D25" i="14"/>
  <c r="D16" i="14"/>
  <c r="F16" i="14" s="1"/>
  <c r="E16" i="14"/>
  <c r="C16" i="14"/>
  <c r="D9" i="14"/>
  <c r="E9" i="14"/>
  <c r="C9" i="14"/>
  <c r="G68" i="14" l="1"/>
  <c r="F42" i="14"/>
  <c r="H42" i="14" s="1"/>
  <c r="G22" i="14"/>
  <c r="F9" i="14"/>
  <c r="H9" i="14" s="1"/>
  <c r="D15" i="14"/>
  <c r="D31" i="14" s="1"/>
  <c r="D36" i="14" s="1"/>
  <c r="F25" i="14"/>
  <c r="C43" i="14"/>
  <c r="D43" i="14"/>
  <c r="F43" i="14" s="1"/>
  <c r="E15" i="14"/>
  <c r="E31" i="14" s="1"/>
  <c r="E36" i="14" s="1"/>
  <c r="E39" i="14" s="1"/>
  <c r="E43" i="14"/>
  <c r="H16" i="14"/>
  <c r="H68" i="14"/>
  <c r="G16" i="14"/>
  <c r="G42" i="14" l="1"/>
  <c r="G9" i="14"/>
  <c r="H25" i="14"/>
  <c r="G25" i="14"/>
  <c r="G43" i="14"/>
  <c r="H43" i="14"/>
  <c r="F31" i="14" l="1"/>
  <c r="F15" i="14"/>
  <c r="C15" i="14"/>
  <c r="D39" i="14" l="1"/>
  <c r="F39" i="14" s="1"/>
  <c r="G15" i="14"/>
  <c r="H15" i="14"/>
  <c r="H31" i="14"/>
  <c r="G31" i="14"/>
  <c r="C31" i="14"/>
  <c r="C36" i="14" l="1"/>
  <c r="C39" i="14" s="1"/>
  <c r="F36" i="14"/>
  <c r="H36" i="14" s="1"/>
  <c r="H39" i="14"/>
  <c r="G39" i="14"/>
  <c r="G36" i="14" l="1"/>
</calcChain>
</file>

<file path=xl/sharedStrings.xml><?xml version="1.0" encoding="utf-8"?>
<sst xmlns="http://schemas.openxmlformats.org/spreadsheetml/2006/main" count="1512" uniqueCount="723">
  <si>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</si>
  <si>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</si>
  <si>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</si>
  <si>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</si>
  <si>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</si>
  <si>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</si>
  <si>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</si>
  <si>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</si>
  <si>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</si>
  <si>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</si>
  <si>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</si>
  <si>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</si>
  <si>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</si>
  <si>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</si>
  <si>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</si>
  <si>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</si>
  <si>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</si>
  <si>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</si>
  <si>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</si>
  <si>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</si>
  <si>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</si>
  <si>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</si>
  <si>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</si>
  <si>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</si>
  <si>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</si>
  <si>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</si>
  <si>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</si>
  <si>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</si>
  <si>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</si>
  <si>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</si>
  <si>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</si>
  <si>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</si>
  <si>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</si>
  <si>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</si>
  <si>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</si>
  <si>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</si>
  <si>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</si>
  <si>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</si>
  <si>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</si>
  <si>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</si>
  <si>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</si>
  <si>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</si>
  <si>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</si>
  <si>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</si>
  <si>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</si>
  <si>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</si>
  <si>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</si>
  <si>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</si>
  <si>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</si>
  <si>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</si>
  <si>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</si>
  <si>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</si>
  <si>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</si>
  <si>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</si>
  <si>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</si>
  <si>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</si>
  <si>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</si>
  <si>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</si>
  <si>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</si>
  <si>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</si>
  <si>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</si>
  <si>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</si>
  <si>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</si>
  <si>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</si>
  <si>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</si>
  <si>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</si>
  <si>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</si>
  <si>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</si>
  <si>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</si>
  <si>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</si>
  <si>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</si>
  <si>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</si>
  <si>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</si>
  <si>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</si>
  <si>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</si>
  <si>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</si>
  <si>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</si>
  <si>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</si>
  <si>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</si>
  <si>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</si>
  <si>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</si>
  <si>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</si>
  <si>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</si>
  <si>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</si>
  <si>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</si>
  <si>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</si>
  <si>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</si>
  <si>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</si>
  <si>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</si>
  <si>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</si>
  <si>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</si>
  <si>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</si>
  <si>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</si>
  <si>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</si>
  <si>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</si>
  <si>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2.1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</si>
  <si>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</si>
  <si>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</si>
  <si>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</si>
  <si>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</si>
  <si>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</si>
  <si>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</si>
  <si>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</si>
  <si>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</si>
  <si>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</si>
  <si>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</si>
  <si>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4.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</si>
  <si>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</si>
  <si>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</si>
  <si>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</si>
  <si>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</si>
  <si>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</si>
  <si>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</si>
  <si>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</si>
  <si>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</si>
  <si>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</si>
  <si>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</si>
  <si>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</si>
  <si>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</si>
  <si>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</si>
  <si>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</si>
  <si>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</si>
  <si>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</si>
  <si>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</si>
  <si>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</si>
  <si>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</si>
  <si>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</si>
  <si>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</si>
  <si>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</si>
  <si>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</si>
  <si>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</si>
  <si>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</si>
  <si>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</si>
  <si>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</si>
  <si>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Власні кошти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</si>
  <si>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</si>
  <si>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</si>
  <si>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</si>
  <si>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</si>
  <si>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</si>
  <si>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витрати на сировину для молочної кухні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</si>
  <si>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</si>
  <si>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</si>
  <si>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</si>
  <si>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</si>
  <si>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</si>
  <si>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</si>
  <si>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</si>
  <si>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скринінгові дослідження новонароджених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</si>
  <si>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</si>
  <si>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</si>
  <si>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</si>
  <si>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</si>
  <si>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</si>
  <si>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</si>
  <si>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</si>
  <si>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</si>
  <si>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</si>
  <si>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</si>
  <si>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 xml:space="preserve">охоронна сигналізація </t>
  </si>
  <si>
    <t>1.3.2</t>
  </si>
  <si>
    <t>1.3.3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</si>
  <si>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</si>
  <si>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</si>
  <si>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2.1.3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</si>
  <si>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</si>
  <si>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</si>
  <si>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</si>
  <si>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</si>
  <si>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</si>
  <si>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>страхування цивільної відповідальності власників транспортних засобів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</si>
  <si>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</si>
  <si>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</si>
  <si>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</si>
  <si>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</si>
  <si>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</si>
  <si>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</si>
  <si>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</si>
  <si>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 xml:space="preserve">За рахунок коштів отриманих від реалізації продукції молочної кухні </t>
  </si>
  <si>
    <t>3.1.1</t>
  </si>
  <si>
    <t>паливно-мастильні матеріали</t>
  </si>
  <si>
    <t>Інші витрати, у сього, у т.ч.:</t>
  </si>
  <si>
    <t>ремонт та технічне обслуговування немедичного обладнання</t>
  </si>
  <si>
    <t>страхування цивільно-правової відповідальності власників транспортних засобів</t>
  </si>
  <si>
    <t>4.1.1</t>
  </si>
  <si>
    <t>Інші  витрати, усього, у т.ч.:</t>
  </si>
  <si>
    <t>податок на додану вартість</t>
  </si>
  <si>
    <t>7.</t>
  </si>
  <si>
    <t>8.</t>
  </si>
  <si>
    <t>8.1.1</t>
  </si>
  <si>
    <t>витратні матеріали для хворих, що знаходяться на лікуванні у відділенні анестезіології  2019-n CoV</t>
  </si>
  <si>
    <t>витратні матеріали для хворих на цукровий діабет</t>
  </si>
  <si>
    <t>медикаменти 2019-n CoV, предмети матеріали обладнання (в т.ч. медичного) та інвентарю</t>
  </si>
  <si>
    <t>медикаменти та перв'язувальні матеріали</t>
  </si>
  <si>
    <t>програма "СТОП ГРИП"</t>
  </si>
  <si>
    <t xml:space="preserve">хімреактиви, реагенти, тощо </t>
  </si>
  <si>
    <t xml:space="preserve">оплата електроенергії </t>
  </si>
  <si>
    <t xml:space="preserve">вивіз  сміття </t>
  </si>
  <si>
    <t>9.</t>
  </si>
  <si>
    <t>10.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</si>
  <si>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</si>
  <si>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</si>
  <si>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</si>
  <si>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</si>
  <si>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</si>
  <si>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</si>
  <si>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t>кошти від реалізації продукції молочної кухні</t>
  </si>
  <si>
    <r>
      <t xml:space="preserve">кошти від надання послуг з  немедичної діяльності </t>
    </r>
    <r>
      <rPr>
        <i/>
        <sz val="14"/>
        <rFont val="Times New Roman"/>
        <family val="1"/>
        <charset val="204"/>
      </rPr>
      <t xml:space="preserve"> (платні палати, стажування інтернів, відшкодування від страхової компанії)</t>
    </r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</si>
  <si>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</si>
  <si>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</si>
  <si>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</si>
  <si>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</si>
  <si>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</si>
  <si>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</si>
  <si>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</si>
  <si>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</si>
  <si>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ремонт та технінче обслуговування ПК та оргтехніки</t>
  </si>
  <si>
    <t>ПДВ</t>
  </si>
  <si>
    <t xml:space="preserve">пільгова пенсія </t>
  </si>
  <si>
    <t xml:space="preserve">Генератор Covidian </t>
  </si>
  <si>
    <t>Благодійна допомога в натуральній формі</t>
  </si>
  <si>
    <t xml:space="preserve">канцтовари, періодичні видання </t>
  </si>
  <si>
    <t>супровід програмного забезпечення, медіа-супровід, обслуговування сайту,кваліфікований електронний підпис</t>
  </si>
  <si>
    <t>13.</t>
  </si>
  <si>
    <t xml:space="preserve">Благодійна допомога в грошовому еквіваленті </t>
  </si>
  <si>
    <t xml:space="preserve">медикаменти та перевязувальні матеріали </t>
  </si>
  <si>
    <t xml:space="preserve">ремонт та технічне облсуговування ліфтів </t>
  </si>
  <si>
    <t xml:space="preserve">послуги  з навчання </t>
  </si>
  <si>
    <t>17.</t>
  </si>
  <si>
    <t>Нарахування амортизації на безоплатно отримані активи, усього, у т.ч.:</t>
  </si>
  <si>
    <t>нарахування амортизації на безоплатно отримані активи</t>
  </si>
  <si>
    <t>металобрухт</t>
  </si>
  <si>
    <t>5.</t>
  </si>
  <si>
    <t xml:space="preserve"> </t>
  </si>
  <si>
    <t>відшкодування коштів (згідно акту за результатами ревізії, та акту звірки)</t>
  </si>
  <si>
    <t>Кошти бюджету ВМТГ</t>
  </si>
  <si>
    <t>інформаційно-консультаційні послуги</t>
  </si>
  <si>
    <t>паливно-мастильні метеріали</t>
  </si>
  <si>
    <t xml:space="preserve">ремонт та технічне обслуговування авто </t>
  </si>
  <si>
    <t xml:space="preserve">послуги з навчання </t>
  </si>
  <si>
    <t>публікація в газеті</t>
  </si>
  <si>
    <t>Кошти державного бюджету від Національної служби здоров'я України за рахунок залишку коштів на рахунок</t>
  </si>
  <si>
    <t>Кошти від надання послуг з медичної діяльності, відшкодування від страхової компанії</t>
  </si>
  <si>
    <t xml:space="preserve">публікація в газеті </t>
  </si>
  <si>
    <t>дохід від оприбуткування вторсировини (металобрухт, медичних відходів)</t>
  </si>
  <si>
    <t>профвнески</t>
  </si>
  <si>
    <t>Директор КНП "ВМКЛ"ЦМтаД"</t>
  </si>
  <si>
    <t>Кошти бюджету ВМТГ (залишки минулих періодів)</t>
  </si>
  <si>
    <t>5.1</t>
  </si>
  <si>
    <t>5.1.1</t>
  </si>
  <si>
    <t>6.</t>
  </si>
  <si>
    <t>14.</t>
  </si>
  <si>
    <t>15.</t>
  </si>
  <si>
    <t>16.</t>
  </si>
  <si>
    <t>Кошти від надання послуг з медичної діяльності, відшкодування від страхової компанії (залишик минулих періодів)</t>
  </si>
  <si>
    <r>
      <t xml:space="preserve">Кошти від надання послуг з  немедичної діяльності </t>
    </r>
    <r>
      <rPr>
        <i/>
        <sz val="14"/>
        <rFont val="Times New Roman"/>
        <family val="1"/>
        <charset val="204"/>
      </rPr>
      <t>(платні палати, стажування інтернів, відшкодування від страхової компанії)</t>
    </r>
  </si>
  <si>
    <t>Директор КНП"ВМКЛ"ЦМтаД"</t>
  </si>
  <si>
    <r>
      <t>Директор КНП "ВМКЛ"ЦМтаД"</t>
    </r>
    <r>
      <rPr>
        <u/>
        <sz val="16"/>
        <color theme="1"/>
        <rFont val="Times New Roman"/>
        <family val="1"/>
        <charset val="204"/>
      </rPr>
      <t xml:space="preserve"> </t>
    </r>
  </si>
  <si>
    <t>Розшифровка до розділу  IV "Капітальні інвестиції" за джерелами надходження</t>
  </si>
  <si>
    <t>кошти Вінницької міської  територіальної громади (ВМТГ)</t>
  </si>
  <si>
    <t>кошти Вінницької міської  територіальної громади (ВМТГ) (залиши минулих періодів)</t>
  </si>
  <si>
    <t xml:space="preserve">Генератор Kraftwele SDG18000S-A з вмонтованим контролером AVR </t>
  </si>
  <si>
    <t xml:space="preserve">Транспортна каталка Stryker   </t>
  </si>
  <si>
    <t xml:space="preserve">Отоскоп / Офтальмоскоп Welch Allun  </t>
  </si>
  <si>
    <t xml:space="preserve">ДБЖ PowerWalker VFI 1000    </t>
  </si>
  <si>
    <t xml:space="preserve">Гініометр медичний 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</si>
  <si>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Синьоводська, 142</t>
  </si>
  <si>
    <t xml:space="preserve">адвокатські послуги </t>
  </si>
  <si>
    <t xml:space="preserve">Кошти від надання платних послуг </t>
  </si>
  <si>
    <t>3.1.</t>
  </si>
  <si>
    <t xml:space="preserve">витрати на сировину для молочної кухні </t>
  </si>
  <si>
    <t xml:space="preserve">паливно-мастильні матеріали </t>
  </si>
  <si>
    <t xml:space="preserve">оренда медичного обладнання </t>
  </si>
  <si>
    <t xml:space="preserve">ремонт приміщення </t>
  </si>
  <si>
    <t>адвокатські послуги</t>
  </si>
  <si>
    <t xml:space="preserve">банківські послуги </t>
  </si>
  <si>
    <t>дезінфекція, дезінсекція</t>
  </si>
  <si>
    <t xml:space="preserve">дослідження води </t>
  </si>
  <si>
    <t>адміністративні послуги</t>
  </si>
  <si>
    <t xml:space="preserve">утилізація медичних відходів </t>
  </si>
  <si>
    <t>1.3.4.</t>
  </si>
  <si>
    <t xml:space="preserve">Забезпечення шляхом організації надання медичної допомоги із залученням лікарів-інтернів </t>
  </si>
  <si>
    <t xml:space="preserve">нарахування амортизації на безоплатно отримані активи </t>
  </si>
  <si>
    <t>4.1.</t>
  </si>
  <si>
    <t>4.1.2.</t>
  </si>
  <si>
    <t>4.1.3.</t>
  </si>
  <si>
    <t>4.1.4.</t>
  </si>
  <si>
    <t>4.2.</t>
  </si>
  <si>
    <t>4.2.1.</t>
  </si>
  <si>
    <t>4.2.2</t>
  </si>
  <si>
    <t>4.3.</t>
  </si>
  <si>
    <t>4.3.1.</t>
  </si>
  <si>
    <t>5.1.2.</t>
  </si>
  <si>
    <t>6.1.</t>
  </si>
  <si>
    <t>6.1.1.</t>
  </si>
  <si>
    <t>6.1.3.</t>
  </si>
  <si>
    <t>6.2.</t>
  </si>
  <si>
    <t>6.2.1.</t>
  </si>
  <si>
    <t>6.2.2.</t>
  </si>
  <si>
    <t>6.3.</t>
  </si>
  <si>
    <t>6.3.1.</t>
  </si>
  <si>
    <t>7.1.</t>
  </si>
  <si>
    <t>7.1.1.</t>
  </si>
  <si>
    <t>7.1.2.</t>
  </si>
  <si>
    <t>7.1.3.</t>
  </si>
  <si>
    <t>7.1.4.</t>
  </si>
  <si>
    <t>8.1.</t>
  </si>
  <si>
    <t>8.1.2.</t>
  </si>
  <si>
    <t>9.1.</t>
  </si>
  <si>
    <t>9.1.1.</t>
  </si>
  <si>
    <t>9.1.2.</t>
  </si>
  <si>
    <t>10.1.</t>
  </si>
  <si>
    <t>10.1.1.</t>
  </si>
  <si>
    <t xml:space="preserve">кошти від надання платних послуг </t>
  </si>
  <si>
    <t>4.1.5.</t>
  </si>
  <si>
    <t>кошти для забезпечення шляхом організації надання медичної допомоги із залученням лікарів-інтернів</t>
  </si>
  <si>
    <t xml:space="preserve">дезінфекція, дезінсекція </t>
  </si>
  <si>
    <t xml:space="preserve">ремонт та технічне обслуговування медичного обладання </t>
  </si>
  <si>
    <t xml:space="preserve">Інші операційні витрати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</si>
  <si>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</si>
  <si>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15.1</t>
  </si>
  <si>
    <t>15.1.1</t>
  </si>
  <si>
    <t xml:space="preserve">куросурфи </t>
  </si>
  <si>
    <t xml:space="preserve">Система редукування тиску кисню        </t>
  </si>
  <si>
    <t>11.</t>
  </si>
  <si>
    <t>11.1</t>
  </si>
  <si>
    <t>11.1.1</t>
  </si>
  <si>
    <t>проведення наглядового аудиту сертифікації управління якістю</t>
  </si>
  <si>
    <t xml:space="preserve">земельний податок </t>
  </si>
  <si>
    <t xml:space="preserve">медикаменти та перев`язувальні матеріали </t>
  </si>
  <si>
    <t xml:space="preserve">харчування </t>
  </si>
  <si>
    <t>8.2.</t>
  </si>
  <si>
    <t>8.2.1.</t>
  </si>
  <si>
    <t>Інфузійний насос, aitecs DF-12M Open System (2 шт)</t>
  </si>
  <si>
    <t xml:space="preserve">Дефібрилятор Cardiolife TEC-5621, monitoring + manual/AED    </t>
  </si>
  <si>
    <t xml:space="preserve">Монітор пацієнта uMEC 10        </t>
  </si>
  <si>
    <t xml:space="preserve">Апарат штучної вентиляції легенів Babylog 8000 (2 шт)    </t>
  </si>
  <si>
    <t xml:space="preserve">Інкубатор для новонароджених Isolette C 2000        </t>
  </si>
  <si>
    <t xml:space="preserve">Монітор фетальний Sonicaid TEAM DUO      </t>
  </si>
  <si>
    <t xml:space="preserve">Датчик S4-2 зі встановленою опцією для кардіологічних досліджень  </t>
  </si>
  <si>
    <t xml:space="preserve">STARLINK    </t>
  </si>
  <si>
    <t>Пульсоксиметр РМ-60  (2 шт)</t>
  </si>
  <si>
    <t xml:space="preserve">Датчик SpO2 512H для дітей багаторазовий до пульсоксиметра                                                                                                                                              </t>
  </si>
  <si>
    <t xml:space="preserve">Лічильник СЛ-1 лабараторний механічний </t>
  </si>
  <si>
    <t xml:space="preserve">GE Аналізатор електролітів K+, Na+, Cl-, Ca2+, pH, Ref      </t>
  </si>
  <si>
    <t xml:space="preserve">neoBLUE cozy LED Phototherapy   </t>
  </si>
  <si>
    <t xml:space="preserve">Апарат ШВЛ для новонароджених та дітей DRAGER Babylog VN500 з комплектуючими                                   </t>
  </si>
  <si>
    <t xml:space="preserve">Монітор пацієнта портативний з доступом (12 шт)    </t>
  </si>
  <si>
    <t xml:space="preserve">Набір отоскопів у футлярі  </t>
  </si>
  <si>
    <t>1.2.1.</t>
  </si>
  <si>
    <t>зберігання архівної документації</t>
  </si>
  <si>
    <t xml:space="preserve">санітарно-гігієнічне дослідження факторів виробничого середовища </t>
  </si>
  <si>
    <t>9.2.</t>
  </si>
  <si>
    <t>9.2.1.</t>
  </si>
  <si>
    <t>9.2.2.</t>
  </si>
  <si>
    <t>12.1.</t>
  </si>
  <si>
    <t>12.1.1.</t>
  </si>
  <si>
    <t>13.1.</t>
  </si>
  <si>
    <t>13.1.1.</t>
  </si>
  <si>
    <t>15.1.2.</t>
  </si>
  <si>
    <t xml:space="preserve">Автомобіль б/в Chevrolet Chevy Silverado 3500 Duramax Ambulance  </t>
  </si>
  <si>
    <t xml:space="preserve">Ноутбук Dell Latitude 3420 FHD i5 16G RAM, 512GO SSD, 4 cell battery, fingerprint reader </t>
  </si>
  <si>
    <t xml:space="preserve">Дефiбрилятор   </t>
  </si>
  <si>
    <t xml:space="preserve">Апарат УЗД з набором датчиків Ultrasound Versana Active                                                                                                                                                 </t>
  </si>
  <si>
    <t xml:space="preserve">Система рентгенодіагностична JUMONG             </t>
  </si>
  <si>
    <t xml:space="preserve">Медичне електричне ліжко для пологів AD-1650     </t>
  </si>
  <si>
    <t xml:space="preserve">Насос шприцевий М300 </t>
  </si>
  <si>
    <t>Посібник англійська, французька</t>
  </si>
  <si>
    <t xml:space="preserve">Вентилятор підлоговий HausMark HSFM-1625WH/RC        </t>
  </si>
  <si>
    <t xml:space="preserve">Накопичувач HDD Seagate 1TB USB 3.0 2.5" Bacis (STJL1000400) Black                                                                                                                </t>
  </si>
  <si>
    <t xml:space="preserve">Мегафон (гучномовець)    </t>
  </si>
  <si>
    <t xml:space="preserve">Вогнегасник ВВК-1,4 плоске дно з кронштейнами     </t>
  </si>
  <si>
    <t xml:space="preserve">Монітор 21.5" LG 22EA430V-B           </t>
  </si>
  <si>
    <t xml:space="preserve">Холодильник AOV ACB-264SL., PQS E004/023      </t>
  </si>
  <si>
    <t>Носій вакцини UIFF AOV AFVC46 E004/050</t>
  </si>
  <si>
    <t xml:space="preserve">Генератор        </t>
  </si>
  <si>
    <t xml:space="preserve">Системний блок              </t>
  </si>
  <si>
    <t xml:space="preserve">Комплекс з погружним дренажним насосом та накопичувальною ємністю                                                                                                                                       </t>
  </si>
  <si>
    <t xml:space="preserve">Система рекуператор PRANA 200 з витяжним вентилятором     </t>
  </si>
  <si>
    <t xml:space="preserve">Ходулі для дорослих              </t>
  </si>
  <si>
    <t>Ходулі для дітей</t>
  </si>
  <si>
    <t>Трансформер жовтий (б/в)</t>
  </si>
  <si>
    <t xml:space="preserve">Система розеток корпусних кисневих газових     </t>
  </si>
  <si>
    <t xml:space="preserve">Стілець металевий без спинки         </t>
  </si>
  <si>
    <t xml:space="preserve">Ліжко дитяче функціональне з матрацом    </t>
  </si>
  <si>
    <t xml:space="preserve">Ліжко функціональне з матрацом          </t>
  </si>
  <si>
    <t xml:space="preserve">Манеж дитячий      </t>
  </si>
  <si>
    <t xml:space="preserve">Ліжко функціональне (операційне) Simpex Objekt    </t>
  </si>
  <si>
    <t xml:space="preserve">Кушетка Simpex Objekt         </t>
  </si>
  <si>
    <t>Сфігмоманометр (дорослий), анероїд   (8 шт)</t>
  </si>
  <si>
    <t>Стетоскоп, бінауральний, повний   (24 шт)</t>
  </si>
  <si>
    <t>ремонт та технічне обслуговування медичного обладнеання</t>
  </si>
  <si>
    <t>8.3</t>
  </si>
  <si>
    <t>8.3.1</t>
  </si>
  <si>
    <t xml:space="preserve">Кошти орендарів (енергоносії) залишки минулих періодів </t>
  </si>
  <si>
    <t>Дохід від оприбуткування вторсировини (металобрухт, медичних відходів)</t>
  </si>
  <si>
    <t>Інші операційні витрати, усього, у т.ч.</t>
  </si>
  <si>
    <t xml:space="preserve">металобрухт </t>
  </si>
  <si>
    <t xml:space="preserve">оплата теплопостачання </t>
  </si>
  <si>
    <t>Адміністративні матеріали, усього, у т.ч.,</t>
  </si>
  <si>
    <t>15.2</t>
  </si>
  <si>
    <t>15.2.1</t>
  </si>
  <si>
    <t xml:space="preserve">оцінка приміщень </t>
  </si>
  <si>
    <t xml:space="preserve">відшкодування витрат на оплату праці за працевлаштовання внутрішньо-переміщених осіб внаслідок проведення бойових дій під час воєнного стану в Україіні </t>
  </si>
  <si>
    <t xml:space="preserve">інформаційно-консультаційні послуги </t>
  </si>
  <si>
    <t xml:space="preserve">оцінка майна </t>
  </si>
  <si>
    <t xml:space="preserve">Дозатор механічний одноканальний Proline 10-100 мкл.   </t>
  </si>
  <si>
    <t xml:space="preserve">Ультразвуковий зволожувач повітря H2O Humidifier 500мл </t>
  </si>
  <si>
    <t xml:space="preserve">Крісло для перевезення         </t>
  </si>
  <si>
    <t xml:space="preserve">Крісла туалети      </t>
  </si>
  <si>
    <t xml:space="preserve">Комод      </t>
  </si>
  <si>
    <t xml:space="preserve">Тренажер G14 для вібротерапії з поручнем (в комплекті бруси для відновлення навиків ходьби з перешкодами Т/У)                                                                                           </t>
  </si>
  <si>
    <t xml:space="preserve">Пристрій для реабілітації MOTOmed loop.la для ніг та рук </t>
  </si>
  <si>
    <t xml:space="preserve">Програмно-технічний комплекс "Тімоко" для осіб з фізичними вадами                                                                                                                                       </t>
  </si>
  <si>
    <t xml:space="preserve">Система обігріву пацієнта ІНС-2000 CosyTherm2     </t>
  </si>
  <si>
    <t xml:space="preserve">Системний блок </t>
  </si>
  <si>
    <t xml:space="preserve">Матрац дитячий </t>
  </si>
  <si>
    <t xml:space="preserve">Мікрохвильова піч ERGO EM-2075      </t>
  </si>
  <si>
    <t xml:space="preserve">Сфігмоманометр, Babyphon, 1 трубка, з 3 манжетами 5/7/10 см </t>
  </si>
  <si>
    <t xml:space="preserve">Регулятор швидкості потока кисню (Флоуметр-DIN)        </t>
  </si>
  <si>
    <t xml:space="preserve">Комод на 4 шухляди "CAT" 940х450х390 мм, сірий                                                                                                                                                          </t>
  </si>
  <si>
    <t xml:space="preserve">Ваги підлогові електронні SCARLETT SC-BS33E077 йога коти                                                                                                                                                </t>
  </si>
  <si>
    <t xml:space="preserve">Диспенсер для дезінфекції рук (ручний, ліктєвий) 1л                                                                                                                                                     </t>
  </si>
  <si>
    <t xml:space="preserve">Роздавальник складн. паперов. рушників білий V-620                                                                                                                                                      </t>
  </si>
  <si>
    <t xml:space="preserve">Киснева розетка стандартна DIN          </t>
  </si>
  <si>
    <t xml:space="preserve">Стіл комп'ютерний        </t>
  </si>
  <si>
    <t xml:space="preserve">Автоматичний перемикач (блок ATS)                                                                                                                                                                       </t>
  </si>
  <si>
    <t xml:space="preserve">Стерилізатор паровий, 39 л                         </t>
  </si>
  <si>
    <t xml:space="preserve">Набір Embrace Nest Infant Warmer (starter pack, baby trap and warm pack) (конверт з підігрівом) </t>
  </si>
  <si>
    <t xml:space="preserve">Крісло-реклайнер із шкірозамінника Jeff чорне </t>
  </si>
  <si>
    <t xml:space="preserve">Інфузійний насос з аксесуарами   </t>
  </si>
  <si>
    <t xml:space="preserve">Пульсоксиметр портативний постійний з частотою дихання </t>
  </si>
  <si>
    <t xml:space="preserve">Ваги мати/дитина, 150 кг, на батарейці           </t>
  </si>
  <si>
    <t xml:space="preserve">Стерилізатор паровий, 24 л   </t>
  </si>
  <si>
    <t xml:space="preserve">Інкубатор для немовлят Embrace Nest Infant Warmer   </t>
  </si>
  <si>
    <t xml:space="preserve">Оглядове гінекологічне крісло б/в    </t>
  </si>
  <si>
    <t xml:space="preserve">Шафа з полицями   </t>
  </si>
  <si>
    <t xml:space="preserve">Глюкометр 300 тест і ланцети 1 МОДУЛЬ      </t>
  </si>
  <si>
    <t xml:space="preserve">Дитяче ліжко б/в    </t>
  </si>
  <si>
    <t xml:space="preserve">Система ультразвукова діагностична APLIO a (CUS-AA000/WC) </t>
  </si>
  <si>
    <t xml:space="preserve">Медичне ліжко Avanguard 1200        </t>
  </si>
  <si>
    <t>Інші джерела (НСЗУ, гуманітарна допомога,централізовані поставки)</t>
  </si>
  <si>
    <t>Бюджетне фінансування (міський бюджет, днржавний бюджет)</t>
  </si>
  <si>
    <t xml:space="preserve">страхування майна </t>
  </si>
  <si>
    <t>оплата елекроенергії</t>
  </si>
  <si>
    <t xml:space="preserve">Капітальний ремонт </t>
  </si>
  <si>
    <t xml:space="preserve">підготовка системи опалення до опалювального сезону </t>
  </si>
  <si>
    <t>дератизація та дезинфекція</t>
  </si>
  <si>
    <t>витрати на відрядження</t>
  </si>
  <si>
    <t>пільгова пенсія</t>
  </si>
  <si>
    <t xml:space="preserve">адміністративні послуги </t>
  </si>
  <si>
    <t>2.1.2.</t>
  </si>
  <si>
    <t>3.1.2.</t>
  </si>
  <si>
    <t>6.1.2.</t>
  </si>
  <si>
    <t>6.1.4.</t>
  </si>
  <si>
    <t>6.1.5.</t>
  </si>
  <si>
    <t>15.2.2.</t>
  </si>
  <si>
    <t>16.1</t>
  </si>
  <si>
    <t>17.1.1</t>
  </si>
  <si>
    <t>16.1.1</t>
  </si>
  <si>
    <t xml:space="preserve">                            </t>
  </si>
  <si>
    <t>12.</t>
  </si>
  <si>
    <t>14.1</t>
  </si>
  <si>
    <t>14.1.1</t>
  </si>
  <si>
    <t>13.2.1</t>
  </si>
  <si>
    <t>13.2</t>
  </si>
  <si>
    <t>17.1</t>
  </si>
  <si>
    <t>17.1.2</t>
  </si>
  <si>
    <t>17.1.3</t>
  </si>
  <si>
    <t>17.2</t>
  </si>
  <si>
    <t>17.2.1</t>
  </si>
  <si>
    <t>17.2.2</t>
  </si>
  <si>
    <t>17.3</t>
  </si>
  <si>
    <t>17.3.1</t>
  </si>
  <si>
    <t>18.</t>
  </si>
  <si>
    <t>18.1</t>
  </si>
  <si>
    <t>18.1.1</t>
  </si>
  <si>
    <t>14.2</t>
  </si>
  <si>
    <t>14.2.1</t>
  </si>
  <si>
    <t xml:space="preserve">ЗВІТ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"Вінницька міська клінічна лікарня "Центр матері та дитини"
за 2023 року </t>
  </si>
  <si>
    <t>Факт 
за 2023 рік</t>
  </si>
  <si>
    <t>План 
за 2023 рік</t>
  </si>
  <si>
    <t>Факт                   за 2022 рік</t>
  </si>
  <si>
    <t xml:space="preserve">визначення вологості повітря </t>
  </si>
  <si>
    <t xml:space="preserve">перевірка електробезпеки </t>
  </si>
  <si>
    <t xml:space="preserve">адміністративний збір </t>
  </si>
  <si>
    <t xml:space="preserve">визначення витрат палива </t>
  </si>
  <si>
    <t>дезинфекція, дезинсекція</t>
  </si>
  <si>
    <t>Відкодування коштів (згідно актів за результатами ревізії, та акту звірки)</t>
  </si>
  <si>
    <t xml:space="preserve">Відшкодування витрат на оплату праці за працевлаштування внутрішньо-переміщених осіб внаслідок бойових дій під час воєнного стану в Україні </t>
  </si>
  <si>
    <t xml:space="preserve">Витрати на оплату праці </t>
  </si>
  <si>
    <t>Предмети та вироби для фізичного розвитку та реабілітації дітей</t>
  </si>
  <si>
    <t xml:space="preserve">оплата природного газу </t>
  </si>
  <si>
    <t xml:space="preserve">Новорічні подарунки </t>
  </si>
  <si>
    <t>9.3</t>
  </si>
  <si>
    <t>9.3.1</t>
  </si>
  <si>
    <t>План 
2023 року</t>
  </si>
  <si>
    <t>Факт                   за 2022 року</t>
  </si>
  <si>
    <t xml:space="preserve">предмети та вироби для фізичного розвитку та реабілітації дітей </t>
  </si>
  <si>
    <t>Звітний за 2023 рік</t>
  </si>
  <si>
    <t>Звітний за  2023 рік</t>
  </si>
  <si>
    <t>План 
на 2023 рік</t>
  </si>
  <si>
    <t>Система ультразвукова діагностична</t>
  </si>
  <si>
    <t xml:space="preserve">аналізатор електролітів </t>
  </si>
  <si>
    <t>Тренажер для вібротерапії (в комплекті бруси для відновлення навиків ходьби з перешкодами)</t>
  </si>
  <si>
    <t xml:space="preserve">Апрограмно-технічний комплекс для осіб з фізичними вадами </t>
  </si>
  <si>
    <t>Пристрій для реабілітація для рук та ніг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</si>
  <si>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Маяковського, 138</t>
  </si>
  <si>
    <t xml:space="preserve">Капітальний ремонт споруд цивільного захисту (укриттів, бомбосховищ тощо) комунальних некомерційних підприємств охорони здоров'я </t>
  </si>
  <si>
    <t>Капітальний ремонт системи блискавкозахисту будівель пологового будинку та дитячого стаціонару КНП "ВМКЛ "ЦМтаД" за адресою м.Вінниця, вул. Синьоводська, 142  (підготовка обєктів до опалювального сезону)</t>
  </si>
  <si>
    <t>Реконструкція частини покрівлі будівлі пологового будинку з влаштуванням сонячної електростанції КНП "ВМКЛ "ЦМтаД" по вул.Синьоводській, 142 (заходи з енергозбереження)</t>
  </si>
  <si>
    <t>план 
на 2023 року</t>
  </si>
  <si>
    <t>факт 
за 2023 року</t>
  </si>
  <si>
    <t>кошти від надання послуг з медичної діяльності, відшкодування від страхової компанії</t>
  </si>
  <si>
    <t>кошти, отримані від реалізаціїв установленому порядку майна (крім нерухомого майна )</t>
  </si>
  <si>
    <t xml:space="preserve">дохід від курсової різниці </t>
  </si>
  <si>
    <t xml:space="preserve">запчастини до медичного обладнання </t>
  </si>
  <si>
    <t xml:space="preserve">Підігрівач інфузійних розчинів та крові FT800                                                                                                                                                           </t>
  </si>
  <si>
    <t>OXYGEN CONCENTRATOR, KSOC-5, Single Flow, 10 L/mi, 110V 60Hz</t>
  </si>
  <si>
    <t xml:space="preserve">Інкубатор для немовлят Erlunc Ozcan Magic Loggia M   </t>
  </si>
  <si>
    <t>Інкубатор для новонароджених / Інкубатор для новонароджених Air Incu I</t>
  </si>
  <si>
    <t>Інкубатор для новонароджених / MOM Essebtial Incubator Ukraina Editlon-ME1-UA-UK, 1 (4 шт)</t>
  </si>
  <si>
    <t xml:space="preserve">Інкубатор / Неонатальний інкубатор марки Dalex Ohmega, mod. Giraffe  (4 шт)                            </t>
  </si>
  <si>
    <t xml:space="preserve">Інкубатор для новонароджених / MOM Essebtial Incubator Ukraina Editlon-ME1-UA-UK, 1                                                                                                                     </t>
  </si>
  <si>
    <t>Пристрій для обігріву новонароджених / Пристрій для обігріву новонароджених марки Drager, mod. Resuscitaire</t>
  </si>
  <si>
    <t xml:space="preserve">ATOM INFANT INCUBATOR </t>
  </si>
  <si>
    <t xml:space="preserve">Реабілітаційний стіл з електричним регулюванням висоти SR-3E </t>
  </si>
  <si>
    <t xml:space="preserve">Пристрій реабілітаційний ДАЛМАТИН ІНВЕНТО розмір 1      </t>
  </si>
  <si>
    <t xml:space="preserve">Монітор електрокардіосигналів добовий SDM 3   </t>
  </si>
  <si>
    <t xml:space="preserve">Електрокардіограф ЮКАРД 100 з пристроєм прийому/передачі даних   </t>
  </si>
  <si>
    <t xml:space="preserve">Медичне ліжко Hill-Rom AvantGuard 1200 </t>
  </si>
  <si>
    <t xml:space="preserve">Апарат УЗД з набором датчиків Ultrasound Versana Active </t>
  </si>
  <si>
    <t xml:space="preserve">Відсмоктувач хірургічний (Аспіратор) з контейнером багаторазового використання </t>
  </si>
  <si>
    <t xml:space="preserve">Авторефкератометр LUCID-KR з сенсорним екраном       </t>
  </si>
  <si>
    <t xml:space="preserve">Цифрова мамографічна система Amulet Innovality (FDR MS-3500)    </t>
  </si>
  <si>
    <t xml:space="preserve">ZUG пульсоксиметр                                                                                                                                                                                       </t>
  </si>
  <si>
    <t xml:space="preserve">Акумуляторні ультразвукові датчики SD3, що працюють від батарейок, для прослуховування частоти серцевих скорочень плода під час пологів                                                                 </t>
  </si>
  <si>
    <t>Портативний акушерський ультразвуковий сканер</t>
  </si>
  <si>
    <t xml:space="preserve">Апарат штучної вентиляції легень Savina 300    </t>
  </si>
  <si>
    <t xml:space="preserve">Дзеркало коригуюче для реабілітації одинарне L-01 </t>
  </si>
  <si>
    <t xml:space="preserve">Приліжковий монітор пацієнта CSM-1502   </t>
  </si>
  <si>
    <t xml:space="preserve">Датчик мікроконвексний внутрішньопорожнинний Е8Сs-RS </t>
  </si>
  <si>
    <t xml:space="preserve">Датчик секторний фазований 12S-RS           </t>
  </si>
  <si>
    <t>Монітор пацієнта мультипараметровий BREGHTFIELD HEALTHCARE V12</t>
  </si>
  <si>
    <t>Фетальний монітор ТЕАМЗА, антенатальний</t>
  </si>
  <si>
    <t xml:space="preserve">Кабіна для підвісної терапії WSC-4 (в комплекті набір аксесуарів повний, рельса з кронштейном для клітки реабілітаційної WSC-4 та розвантажувальна система "Павук")   </t>
  </si>
  <si>
    <t xml:space="preserve">Система ендоскопічної візуалізації в комплекті </t>
  </si>
  <si>
    <t xml:space="preserve">Апарат наркозно-дихальний Primus   </t>
  </si>
  <si>
    <t xml:space="preserve">Пристрій для фототерапії новонароджених НО-АФ-LED   </t>
  </si>
  <si>
    <t>Холодильна шафа ХШВ Shine (2 шт)</t>
  </si>
  <si>
    <t xml:space="preserve">JH-2001-36 (KCK-18) Коробка для стерилізації Schimmelbusch, 390*190мм (10 шт)                                                                                                                                  </t>
  </si>
  <si>
    <t xml:space="preserve">Штатив ШДВ-5Н-К  (10 шт)  </t>
  </si>
  <si>
    <t xml:space="preserve">Штатив ШДВ-5Р-К  (10 шт)  </t>
  </si>
  <si>
    <t xml:space="preserve">Посібник англійська, іспанська, французька (6 шт)      </t>
  </si>
  <si>
    <t xml:space="preserve">Радіоприймач (2 шт)     </t>
  </si>
  <si>
    <t xml:space="preserve">Системний блок   (2 шт)           </t>
  </si>
  <si>
    <t xml:space="preserve">Візок складний (2 шт)       </t>
  </si>
  <si>
    <t xml:space="preserve">Кисневий концентратор (б/в) (2 шт)      </t>
  </si>
  <si>
    <t>Система розеток корпусних кисневих газових</t>
  </si>
  <si>
    <t>Матрас комфорт 90х190 см      (86 шт)</t>
  </si>
  <si>
    <t>Інвалідні крісла-коляски SOPUR ALLROUND  (2 шт)</t>
  </si>
  <si>
    <t>Інвалідні крісла-коляски DAAO Bock  (2 шт)</t>
  </si>
  <si>
    <t xml:space="preserve">Кювез дитячий з підігрівом Babytherm 4200 (3 шт)   </t>
  </si>
  <si>
    <t xml:space="preserve">Кювез дитячий з підігрівом M/WEYER  (6 шт)    </t>
  </si>
  <si>
    <t>Неонатальний інкубатор з підігрівачем (Променеве тепло) (2 шт)</t>
  </si>
  <si>
    <t xml:space="preserve">Тумба прикроватна (6 шт)        </t>
  </si>
  <si>
    <t>Крісло гінекологічне для породіллі (2 шт)</t>
  </si>
  <si>
    <t xml:space="preserve">Ваги дитячі, пружинні, 5кг*25г (8 шт)    </t>
  </si>
  <si>
    <t xml:space="preserve">Стетоскоп фетальний Pinard (16 шт)   </t>
  </si>
  <si>
    <t>Слінг для використання зі скалою  (40 шт)</t>
  </si>
  <si>
    <t>Вимірювач артеріального тиску механічний ВК2001-3001 у комплекті зі стетоскопом, манометром та манжетою стандартною (2 шт)</t>
  </si>
  <si>
    <t xml:space="preserve">Стетоскоп зі змінними діафрагмами, чорний </t>
  </si>
  <si>
    <t xml:space="preserve">Стетоскоп з нержавіючої сталі  </t>
  </si>
  <si>
    <t>Стетоскоп акушерський (3 шт)</t>
  </si>
  <si>
    <t xml:space="preserve">Інгалятор LITTLE DOCTOR LD-250U       </t>
  </si>
  <si>
    <t xml:space="preserve">Тумба під умивальник 55 см  </t>
  </si>
  <si>
    <t xml:space="preserve">Тумба під умивальник 70 см </t>
  </si>
  <si>
    <t xml:space="preserve">Дзеркало 55 см              </t>
  </si>
  <si>
    <t>Бойлер 100 л. 1,5 кВт ARISTON</t>
  </si>
  <si>
    <t xml:space="preserve">Сушарка електрична Класик П8 500*800 </t>
  </si>
  <si>
    <t xml:space="preserve">Матрац Sogum MS-50     </t>
  </si>
  <si>
    <t>Шафа в роздягальню 3-х дверна  (2 шт)</t>
  </si>
  <si>
    <t xml:space="preserve">Дозатор одноканальний змінного об'єму Sartorius 20-200  </t>
  </si>
  <si>
    <t>Прилад для реанімації багаторазового використання ( ручний ап-т д/штучної вентиляції легень дорослий)  (2 шт)</t>
  </si>
  <si>
    <t xml:space="preserve">Матрац віскоеластичний HillRom NP150 </t>
  </si>
  <si>
    <t xml:space="preserve">Акумуляторні налобні ліхтарики Ledlenser H8R для хірургічних операцій у разі відключення електрики  (3 шт)                                                                                                    </t>
  </si>
  <si>
    <t>Монітори артеріального тиску АРЕС на батарейках, для надання допомоги при прееклампсії та шоку (5 шт)</t>
  </si>
  <si>
    <t>Apple IPAD 10.2 64 GB для збору та моніторингу даних, оснащений базою даних Memento</t>
  </si>
  <si>
    <t xml:space="preserve">Тестер HAB Pro 2 "Point of care" для вимірювання лактату в пуповинній крові після пологів </t>
  </si>
  <si>
    <t>Інвертор для медичного обладнання Портативний 14 кг, для підтримки обладнання, що працює від акумуляторів</t>
  </si>
  <si>
    <t xml:space="preserve">Відсмоктувач медичний "Біомед",модель 7Е-В </t>
  </si>
  <si>
    <t xml:space="preserve">оплата прирордного газу </t>
  </si>
  <si>
    <t>за 2023 рік</t>
  </si>
  <si>
    <t>за 2022 рік</t>
  </si>
  <si>
    <t xml:space="preserve">Транспортна каталка Stryker                                                                                                                                                                             </t>
  </si>
  <si>
    <t xml:space="preserve">Отоскоп / Офтальмоскоп Welch Allun                                                                                                                                                                      </t>
  </si>
  <si>
    <t xml:space="preserve">Система редукування тиску кисню                            </t>
  </si>
  <si>
    <t xml:space="preserve">Столик мануальний для реабілітації з навантаженням ТБ/О    </t>
  </si>
  <si>
    <t>Реабілітаційний стіл для терапії широкий з електричним регулюванням висоти СР-3Е-Б</t>
  </si>
  <si>
    <t xml:space="preserve">Кондиціонер SENSEI SAC-12SKWN/I         </t>
  </si>
  <si>
    <t xml:space="preserve">Інфрачервоний обігрівач для новонароджених SunflowerWarmer                                                                                                                                              </t>
  </si>
  <si>
    <t xml:space="preserve">Апарат штучної вентиляції легенів(Laerdal Servi Ventilator)    </t>
  </si>
  <si>
    <t xml:space="preserve">Монітор пацієнта SC300N                                                                               </t>
  </si>
  <si>
    <t xml:space="preserve">Цифровий портативний колькоскоп APOMED(720h HD)     </t>
  </si>
  <si>
    <t xml:space="preserve">Шприцевий -2 інфузійний насос     </t>
  </si>
  <si>
    <t xml:space="preserve">Молоковідсмоктувач KITETT(R) FISIO(R) електричний, в комплекті з наборами для зціджування               </t>
  </si>
  <si>
    <t xml:space="preserve">Монітор пацієнта портативний з доступом (12 шт)   </t>
  </si>
  <si>
    <t>Виготовлення ПКД за капремонт лікувльно-реабілітаційного відділення дитячого стаціонару міської лікарні «Центр матері та дитини» за адресою: Україна, м. Вінниця, вул. Синьоводська, 142</t>
  </si>
  <si>
    <t xml:space="preserve">Полиця                                                                                                                                                                                                  </t>
  </si>
  <si>
    <t xml:space="preserve">Дозатор ліктьовий 1л, 9,4*10*25 см, хром                                                                                                                                                                </t>
  </si>
  <si>
    <t xml:space="preserve">Матраци Sogum MS-50                                                                                                                                                                                     </t>
  </si>
  <si>
    <t xml:space="preserve">Шафа для одягу                                                                                                                                                                                          </t>
  </si>
  <si>
    <t xml:space="preserve">Багатофункціональний пристрій Canon MF3010     </t>
  </si>
  <si>
    <t xml:space="preserve">Принтер Canon LBP-6030B(чорний)   </t>
  </si>
  <si>
    <t xml:space="preserve">Бак для сміття 240л </t>
  </si>
  <si>
    <t xml:space="preserve">Крісло Ultra сидіння А-1/спинка Сітка чорна,вставка Скаден чорний  </t>
  </si>
  <si>
    <t xml:space="preserve">Камертон, С128            </t>
  </si>
  <si>
    <t xml:space="preserve">Портативний прилад МАГ 30-4       </t>
  </si>
  <si>
    <t xml:space="preserve">Апарат Амбліопанорама      </t>
  </si>
  <si>
    <t xml:space="preserve">Апарат для гальванізації та електрофорезу ПОТОК-01М </t>
  </si>
  <si>
    <t xml:space="preserve">Освітлювач таблиць для визначення зору АР-1(Апарат Рота)        </t>
  </si>
  <si>
    <t xml:space="preserve">Бенкетка медична коридорна 3-місна        </t>
  </si>
  <si>
    <t xml:space="preserve">Апарат спектральний офтальмологічний АСО-ЗУМ         </t>
  </si>
  <si>
    <t xml:space="preserve">Макулостимулятор МКС        </t>
  </si>
  <si>
    <t xml:space="preserve">Світильник "Медика" ОБМ-75МЕ з лампою UW-30W                         </t>
  </si>
  <si>
    <t xml:space="preserve">Світильник "Медика" ОБМ-150МЕ з двома лампами ТUW-30W </t>
  </si>
  <si>
    <t>Світильник світлодіодний DELUX REL-901 (2*3.7 V2Ah) 90LED 6W 480х68х38</t>
  </si>
  <si>
    <t xml:space="preserve">Системний блок(Корпус FrimeCom MX 10 MiniTOWER,GameMax GM-450B,(450Вт), MB Asus PRIME H510M-K ,Накопичувач Samsung ,Комплект А4-Tech Fstyler </t>
  </si>
  <si>
    <t xml:space="preserve">Апарат Струмочок для тренування акомодації  </t>
  </si>
  <si>
    <t xml:space="preserve">Обігрівач для новонароджених б\в         </t>
  </si>
  <si>
    <t xml:space="preserve">Комплексна діагностична система ,обладнання для ЛОР кабінету б\в                                                               </t>
  </si>
  <si>
    <t xml:space="preserve">Крісло гінекологічне б\в      </t>
  </si>
  <si>
    <t xml:space="preserve">Центрифуга лабораторна б\в       </t>
  </si>
  <si>
    <t xml:space="preserve">Стіл-тумба маніпуляційний пересувний б\в     </t>
  </si>
  <si>
    <t xml:space="preserve">Апарат Accu-Chek Inform II б\в   </t>
  </si>
  <si>
    <t xml:space="preserve">Вгнегасник Jockel              </t>
  </si>
  <si>
    <t xml:space="preserve">Небулайзер Pulmo Aide б\в                                                                                                                                                                               </t>
  </si>
  <si>
    <t xml:space="preserve">Тонометр microlife  </t>
  </si>
  <si>
    <t>Мед.ендоскопіч кемера(відеозапс.пристрій,електрич.коагулятор,газ.інсуфлятор</t>
  </si>
  <si>
    <t xml:space="preserve">Сфігроманометр (13 шт)                </t>
  </si>
  <si>
    <t xml:space="preserve">Ролети Льон 0875 (в асортименті)                                                                                                                                                                      </t>
  </si>
  <si>
    <t xml:space="preserve">Система ендоскопічної візуалізації </t>
  </si>
  <si>
    <t xml:space="preserve">Інкубатор GE Incubator Giraffe Omnibed (3 шт)                                 </t>
  </si>
  <si>
    <t xml:space="preserve">Інкубатор GE Incubator Giraffe Omnibed    (3 шт)                              </t>
  </si>
  <si>
    <t>ДБЖ PowerWalker VFI 1000 (3 шт)</t>
  </si>
  <si>
    <t>Стетоскоп неонатальний (27 шт)</t>
  </si>
  <si>
    <t xml:space="preserve">Подушка стьобана (60 шт)       </t>
  </si>
  <si>
    <t xml:space="preserve">Отоскоп (5 шт)                 </t>
  </si>
  <si>
    <t>Шприцевий насос (3 шт)</t>
  </si>
  <si>
    <t>Монітор пацієнта (3 шт)</t>
  </si>
  <si>
    <t xml:space="preserve">оцінка енергоефективності, оцінка технічного стану </t>
  </si>
  <si>
    <t>зберігання архівної докуменції</t>
  </si>
  <si>
    <t xml:space="preserve">підготовка системи оплаення до опалювального сезону </t>
  </si>
  <si>
    <t xml:space="preserve">витрати на відрядження </t>
  </si>
  <si>
    <t>санітарно-гігієнічне дослідженням факторів виробничого середовища</t>
  </si>
  <si>
    <t xml:space="preserve">оцінка енергоефективності та технічного стану </t>
  </si>
  <si>
    <t>Розшифровка до розділу  ІІІ "Рух грошових коштів (за прямим методом)"</t>
  </si>
  <si>
    <t>Факт 2022 року</t>
  </si>
  <si>
    <t>відхилення,
%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</si>
  <si>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</si>
  <si>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</si>
  <si>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</si>
  <si>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кошти від надання послуг з  медичної діяльності, відшкодування від страхової компанії</t>
  </si>
  <si>
    <r>
      <t xml:space="preserve">кошти від надання послуг з  немедичної діяльності </t>
    </r>
    <r>
      <rPr>
        <i/>
        <sz val="14"/>
        <rFont val="Times New Roman"/>
        <family val="1"/>
        <charset val="204"/>
      </rPr>
      <t xml:space="preserve"> (платні палати, стажування інтернів)</t>
    </r>
  </si>
  <si>
    <t>Цільове фінансуванн, усього, у тому числі:</t>
  </si>
  <si>
    <t xml:space="preserve">Відшкодування витрат на оплату праці за працевлаштувння внутрішньо переміщених осіб внаслідок проведення бойових дій під час воєнного стану в Україні </t>
  </si>
  <si>
    <t>кошти Вінницької міської обєднаної територіальної громади (ВМТГ)</t>
  </si>
  <si>
    <t>Інші надходження, усього, у тому числі:</t>
  </si>
  <si>
    <t>кошти, отримані від реалізації в установленому порядку майна (крім нерухомого майна)</t>
  </si>
  <si>
    <t>дохід від оприбуткування вторсировини (металобрухт)</t>
  </si>
  <si>
    <t>Видатки грошових коштів від операційної діяльності</t>
  </si>
  <si>
    <t xml:space="preserve">виконавчі листи та аліменти </t>
  </si>
  <si>
    <t xml:space="preserve">видатки від курсової різниці </t>
  </si>
  <si>
    <t>II. Рух коштів у результаті інвестиційної діяльності</t>
  </si>
  <si>
    <t xml:space="preserve">Надходження грошових коштів від інвестиційної діяльності </t>
  </si>
  <si>
    <t xml:space="preserve">Видатки грошових коштів від інвестиційної діяльності </t>
  </si>
  <si>
    <t>Витрачання на придбання необоротних активів, у тому числі:</t>
  </si>
  <si>
    <t>придбання (виготовлення) основних засобів,  усього, у тому числі:</t>
  </si>
  <si>
    <t>придбання (виготовлення) інших необоротних матеріальних активів, усього, у тому числі:</t>
  </si>
  <si>
    <t xml:space="preserve">капітальний ремонт, усього, у тому числі: 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</si>
  <si>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</si>
  <si>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</si>
  <si>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 xml:space="preserve">Володимир ПРИСЯЖНЮК </t>
  </si>
  <si>
    <t xml:space="preserve">Надходження грошових коштів від операційної діяльності </t>
  </si>
  <si>
    <t>Цільове фінансування  (розшифрувати)</t>
  </si>
  <si>
    <t>Надходження від відсотків за залишками коштів на поточних рахунках</t>
  </si>
  <si>
    <r>
      <t>Інші надходження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</si>
  <si>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</si>
  <si>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</si>
  <si>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</si>
  <si>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 xml:space="preserve">єдиний внесок на загальнообов'язкове державне соціальне страхування    </t>
  </si>
  <si>
    <t>інші платежі (розшифрувати)</t>
  </si>
  <si>
    <t>Чистий рух коштів від операційної діяльності</t>
  </si>
  <si>
    <t xml:space="preserve">Інші надходження (розшифрувати) </t>
  </si>
  <si>
    <t>Чистий рух коштів від інвестиційної діяльності </t>
  </si>
  <si>
    <t>Надходження від власного капіталу</t>
  </si>
  <si>
    <t>Надходження від отримання позик/кредитів/облігацій/векселів</t>
  </si>
  <si>
    <t xml:space="preserve">Видатки грошових коштів від фінансової діяльності </t>
  </si>
  <si>
    <t>Витрачання на погашення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</si>
  <si>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</si>
  <si>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</si>
  <si>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Чистий рух коштів від фінансової діяльності </t>
  </si>
  <si>
    <t>Чистий грошовий потік</t>
  </si>
  <si>
    <t>Залишок коштів на початок року</t>
  </si>
  <si>
    <t>Залишок коштів на кінець року</t>
  </si>
  <si>
    <t>Розділ ІІІ. Рух грошових коштів</t>
  </si>
  <si>
    <t>План 2023 року</t>
  </si>
  <si>
    <t>Факт 2023 року</t>
  </si>
  <si>
    <t>18.1.2</t>
  </si>
  <si>
    <t>19.</t>
  </si>
  <si>
    <t>19.1</t>
  </si>
  <si>
    <t>19.1.1</t>
  </si>
  <si>
    <t>19.2</t>
  </si>
  <si>
    <t>19.2.1</t>
  </si>
  <si>
    <t>міський</t>
  </si>
  <si>
    <t>нсзу</t>
  </si>
  <si>
    <t>власні</t>
  </si>
  <si>
    <t>ДБЖ PowerWalker VFI 1000 (2 шт)</t>
  </si>
  <si>
    <t>Монітор пацієнта (2 шт)</t>
  </si>
  <si>
    <t xml:space="preserve">                                          </t>
  </si>
  <si>
    <t>Мед.ендоскопіч кемера (відеозапс.пристрій,електрич.коагулятор,газ.інсуфлятор</t>
  </si>
  <si>
    <t xml:space="preserve">Аналізатор електролітів </t>
  </si>
  <si>
    <t xml:space="preserve">Цифровий портативний колькоскоп APOMED (720h HD)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</si>
</sst>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3" formatCode="_-* #,##0.00\ _₴_-;\-* #,##0.00\ _₴_-;_-* &quot;-&quot;??\ _₴_-;_-@_-"/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-* #,##0.0_р_._-;\-* #,##0.0_р_._-;_-* &quot;-&quot;?_р_._-;_-@_-"/>
    <numFmt numFmtId="181" formatCode="_(* #,##0.0_);_(* \(#,##0.0\);_(* &quot;-&quot;??_);_(@_)"/>
  </numFmts>
  <fonts count="98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u/>
      <sz val="16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Arial Cyr"/>
      <charset val="204"/>
    </font>
    <font>
      <b/>
      <sz val="14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i/>
      <sz val="13"/>
      <color theme="1"/>
      <name val="Times New Roman"/>
      <family val="1"/>
      <charset val="204"/>
    </font>
    <font>
      <sz val="13"/>
      <color theme="0"/>
      <name val="Times New Roman"/>
      <family val="1"/>
      <charset val="204"/>
    </font>
    <font>
      <i/>
      <sz val="13"/>
      <color theme="0"/>
      <name val="Times New Roman"/>
      <family val="1"/>
      <charset val="204"/>
    </font>
    <font>
      <b/>
      <i/>
      <sz val="13"/>
      <color theme="0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56"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5" fillId="2" borderId="0" applyNumberFormat="0" applyBorder="0" applyAlignment="0" applyProtection="0"/>
    <xf numFmtId="0" fontId="2" fillId="2" borderId="0" applyNumberFormat="0" applyBorder="0" applyAlignment="0" applyProtection="0"/>
    <xf numFmtId="0" fontId="25" fillId="3" borderId="0" applyNumberFormat="0" applyBorder="0" applyAlignment="0" applyProtection="0"/>
    <xf numFmtId="0" fontId="2" fillId="3" borderId="0" applyNumberFormat="0" applyBorder="0" applyAlignment="0" applyProtection="0"/>
    <xf numFmtId="0" fontId="25" fillId="4" borderId="0" applyNumberFormat="0" applyBorder="0" applyAlignment="0" applyProtection="0"/>
    <xf numFmtId="0" fontId="2" fillId="4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6" borderId="0" applyNumberFormat="0" applyBorder="0" applyAlignment="0" applyProtection="0"/>
    <xf numFmtId="0" fontId="2" fillId="6" borderId="0" applyNumberFormat="0" applyBorder="0" applyAlignment="0" applyProtection="0"/>
    <xf numFmtId="0" fontId="2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9" borderId="0" applyNumberFormat="0" applyBorder="0" applyAlignment="0" applyProtection="0"/>
    <xf numFmtId="0" fontId="2" fillId="9" borderId="0" applyNumberFormat="0" applyBorder="0" applyAlignment="0" applyProtection="0"/>
    <xf numFmtId="0" fontId="25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11" borderId="0" applyNumberFormat="0" applyBorder="0" applyAlignment="0" applyProtection="0"/>
    <xf numFmtId="0" fontId="2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6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9" borderId="0" applyNumberFormat="0" applyBorder="0" applyAlignment="0" applyProtection="0"/>
    <xf numFmtId="0" fontId="8" fillId="9" borderId="0" applyNumberFormat="0" applyBorder="0" applyAlignment="0" applyProtection="0"/>
    <xf numFmtId="0" fontId="26" fillId="10" borderId="0" applyNumberFormat="0" applyBorder="0" applyAlignment="0" applyProtection="0"/>
    <xf numFmtId="0" fontId="8" fillId="10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9" fillId="3" borderId="0" applyNumberFormat="0" applyBorder="0" applyAlignment="0" applyProtection="0"/>
    <xf numFmtId="0" fontId="11" fillId="20" borderId="1" applyNumberFormat="0" applyAlignment="0" applyProtection="0"/>
    <xf numFmtId="0" fontId="16" fillId="21" borderId="2" applyNumberFormat="0" applyAlignment="0" applyProtection="0"/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168" fontId="6" fillId="0" borderId="0" applyFont="0" applyFill="0" applyBorder="0" applyAlignment="0" applyProtection="0"/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0" fontId="20" fillId="0" borderId="0" applyNumberFormat="0" applyFill="0" applyBorder="0" applyAlignment="0" applyProtection="0"/>
    <xf numFmtId="171" fontId="28" fillId="0" borderId="0" applyAlignment="0">
      <alignment wrapText="1"/>
    </xf>
    <xf numFmtId="0" fontId="23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9" fillId="7" borderId="1" applyNumberFormat="0" applyAlignment="0" applyProtection="0"/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30" fillId="22" borderId="7">
      <alignment horizontal="left" vertical="center"/>
      <protection locked="0"/>
    </xf>
    <xf numFmtId="49" fontId="30" fillId="22" borderId="7">
      <alignment horizontal="left" vertical="center"/>
    </xf>
    <xf numFmtId="4" fontId="30" fillId="22" borderId="7">
      <alignment horizontal="right" vertical="center"/>
      <protection locked="0"/>
    </xf>
    <xf numFmtId="4" fontId="30" fillId="22" borderId="7">
      <alignment horizontal="right" vertical="center"/>
    </xf>
    <xf numFmtId="4" fontId="31" fillId="22" borderId="7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4" fillId="22" borderId="3">
      <alignment horizontal="righ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</xf>
    <xf numFmtId="49" fontId="27" fillId="22" borderId="3">
      <alignment horizontal="left" vertical="center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</xf>
    <xf numFmtId="4" fontId="27" fillId="22" borderId="3">
      <alignment horizontal="right" vertical="center"/>
    </xf>
    <xf numFmtId="4" fontId="31" fillId="22" borderId="3">
      <alignment horizontal="right" vertical="center"/>
      <protection locked="0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5" fillId="22" borderId="3">
      <alignment horizontal="right" vertical="center"/>
      <protection locked="0"/>
    </xf>
    <xf numFmtId="4" fontId="35" fillId="22" borderId="3">
      <alignment horizontal="right" vertical="center"/>
    </xf>
    <xf numFmtId="4" fontId="37" fillId="22" borderId="3">
      <alignment horizontal="right" vertical="center"/>
      <protection locked="0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" fontId="38" fillId="0" borderId="3">
      <alignment horizontal="right" vertical="center"/>
      <protection locked="0"/>
    </xf>
    <xf numFmtId="4" fontId="38" fillId="0" borderId="3">
      <alignment horizontal="right" vertical="center"/>
    </xf>
    <xf numFmtId="4" fontId="39" fillId="0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9" fontId="38" fillId="0" borderId="3">
      <alignment horizontal="left" vertical="center"/>
      <protection locked="0"/>
    </xf>
    <xf numFmtId="49" fontId="39" fillId="0" borderId="3">
      <alignment horizontal="left" vertical="center"/>
      <protection locked="0"/>
    </xf>
    <xf numFmtId="4" fontId="38" fillId="0" borderId="3">
      <alignment horizontal="right" vertical="center"/>
      <protection locked="0"/>
    </xf>
    <xf numFmtId="0" fontId="21" fillId="0" borderId="8" applyNumberFormat="0" applyFill="0" applyAlignment="0" applyProtection="0"/>
    <xf numFmtId="0" fontId="18" fillId="23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Fill="0" applyAlignment="0">
      <alignment horizontal="center"/>
      <protection locked="0"/>
    </xf>
    <xf numFmtId="0" fontId="3" fillId="25" borderId="9" applyNumberFormat="0" applyFont="0" applyAlignment="0" applyProtection="0"/>
    <xf numFmtId="4" fontId="42" fillId="26" borderId="3">
      <alignment horizontal="right" vertical="center"/>
      <protection locked="0"/>
    </xf>
    <xf numFmtId="4" fontId="42" fillId="27" borderId="3">
      <alignment horizontal="right" vertical="center"/>
      <protection locked="0"/>
    </xf>
    <xf numFmtId="4" fontId="42" fillId="28" borderId="3">
      <alignment horizontal="right" vertical="center"/>
      <protection locked="0"/>
    </xf>
    <xf numFmtId="0" fontId="10" fillId="20" borderId="10" applyNumberFormat="0" applyAlignment="0" applyProtection="0"/>
    <xf numFmtId="49" fontId="27" fillId="0" borderId="3">
      <alignment horizontal="left" vertical="center" wrapText="1"/>
      <protection locked="0"/>
    </xf>
    <xf numFmtId="49" fontId="27" fillId="0" borderId="3">
      <alignment horizontal="left" vertical="center" wrapText="1"/>
      <protection locked="0"/>
    </xf>
    <xf numFmtId="0" fontId="17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6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17" borderId="0" applyNumberFormat="0" applyBorder="0" applyAlignment="0" applyProtection="0"/>
    <xf numFmtId="0" fontId="8" fillId="17" borderId="0" applyNumberFormat="0" applyBorder="0" applyAlignment="0" applyProtection="0"/>
    <xf numFmtId="0" fontId="26" fillId="18" borderId="0" applyNumberFormat="0" applyBorder="0" applyAlignment="0" applyProtection="0"/>
    <xf numFmtId="0" fontId="8" fillId="18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9" borderId="0" applyNumberFormat="0" applyBorder="0" applyAlignment="0" applyProtection="0"/>
    <xf numFmtId="0" fontId="8" fillId="19" borderId="0" applyNumberFormat="0" applyBorder="0" applyAlignment="0" applyProtection="0"/>
    <xf numFmtId="0" fontId="43" fillId="7" borderId="1" applyNumberFormat="0" applyAlignment="0" applyProtection="0"/>
    <xf numFmtId="0" fontId="9" fillId="7" borderId="1" applyNumberFormat="0" applyAlignment="0" applyProtection="0"/>
    <xf numFmtId="0" fontId="44" fillId="20" borderId="10" applyNumberFormat="0" applyAlignment="0" applyProtection="0"/>
    <xf numFmtId="0" fontId="10" fillId="20" borderId="10" applyNumberFormat="0" applyAlignment="0" applyProtection="0"/>
    <xf numFmtId="0" fontId="45" fillId="20" borderId="1" applyNumberFormat="0" applyAlignment="0" applyProtection="0"/>
    <xf numFmtId="0" fontId="11" fillId="20" borderId="1" applyNumberFormat="0" applyAlignment="0" applyProtection="0"/>
    <xf numFmtId="172" fontId="6" fillId="0" borderId="0" applyFont="0" applyFill="0" applyBorder="0" applyAlignment="0" applyProtection="0"/>
    <xf numFmtId="0" fontId="46" fillId="0" borderId="4" applyNumberFormat="0" applyFill="0" applyAlignment="0" applyProtection="0"/>
    <xf numFmtId="0" fontId="12" fillId="0" borderId="4" applyNumberFormat="0" applyFill="0" applyAlignment="0" applyProtection="0"/>
    <xf numFmtId="0" fontId="47" fillId="0" borderId="5" applyNumberFormat="0" applyFill="0" applyAlignment="0" applyProtection="0"/>
    <xf numFmtId="0" fontId="13" fillId="0" borderId="5" applyNumberFormat="0" applyFill="0" applyAlignment="0" applyProtection="0"/>
    <xf numFmtId="0" fontId="48" fillId="0" borderId="6" applyNumberFormat="0" applyFill="0" applyAlignment="0" applyProtection="0"/>
    <xf numFmtId="0" fontId="14" fillId="0" borderId="6" applyNumberFormat="0" applyFill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15" fillId="0" borderId="11" applyNumberFormat="0" applyFill="0" applyAlignment="0" applyProtection="0"/>
    <xf numFmtId="0" fontId="50" fillId="21" borderId="2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1" fillId="23" borderId="0" applyNumberFormat="0" applyBorder="0" applyAlignment="0" applyProtection="0"/>
    <xf numFmtId="0" fontId="18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" fillId="0" borderId="0"/>
    <xf numFmtId="0" fontId="3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2" fillId="3" borderId="0" applyNumberFormat="0" applyBorder="0" applyAlignment="0" applyProtection="0"/>
    <xf numFmtId="0" fontId="19" fillId="3" borderId="0" applyNumberFormat="0" applyBorder="0" applyAlignment="0" applyProtection="0"/>
    <xf numFmtId="0" fontId="5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4" fillId="25" borderId="9" applyNumberFormat="0" applyFont="0" applyAlignment="0" applyProtection="0"/>
    <xf numFmtId="0" fontId="6" fillId="25" borderId="9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8" applyNumberFormat="0" applyFill="0" applyAlignment="0" applyProtection="0"/>
    <xf numFmtId="0" fontId="21" fillId="0" borderId="8" applyNumberFormat="0" applyFill="0" applyAlignment="0" applyProtection="0"/>
    <xf numFmtId="0" fontId="2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73" fontId="58" fillId="0" borderId="0" applyFont="0" applyFill="0" applyBorder="0" applyAlignment="0" applyProtection="0"/>
    <xf numFmtId="174" fontId="5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59" fillId="4" borderId="0" applyNumberFormat="0" applyBorder="0" applyAlignment="0" applyProtection="0"/>
    <xf numFmtId="0" fontId="23" fillId="4" borderId="0" applyNumberFormat="0" applyBorder="0" applyAlignment="0" applyProtection="0"/>
    <xf numFmtId="176" fontId="60" fillId="22" borderId="12" applyFill="0" applyBorder="0">
      <alignment horizontal="center" vertical="center" wrapText="1"/>
      <protection locked="0"/>
    </xf>
    <xf numFmtId="171" fontId="61" fillId="0" borderId="0">
      <alignment wrapText="1"/>
    </xf>
    <xf numFmtId="171" fontId="28" fillId="0" borderId="0">
      <alignment wrapText="1"/>
    </xf>
    <xf numFmtId="43" fontId="3" fillId="0" borderId="0" applyFont="0" applyFill="0" applyBorder="0" applyAlignment="0" applyProtection="0"/>
    <xf numFmtId="0" fontId="6" fillId="0" borderId="0"/>
    <xf numFmtId="0" fontId="1" fillId="0" borderId="0"/>
  </cellStyleXfs>
  <cellXfs count="314">
    <xf numFmtId="0" fontId="0" fillId="0" borderId="0" xfId="0"/>
    <xf numFmtId="0" fontId="63" fillId="0" borderId="0" xfId="0" applyFont="1" applyFill="1" applyAlignment="1">
      <alignment vertical="center"/>
    </xf>
    <xf numFmtId="0" fontId="66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vertical="center"/>
    </xf>
    <xf numFmtId="170" fontId="66" fillId="0" borderId="0" xfId="0" applyNumberFormat="1" applyFont="1" applyFill="1" applyBorder="1" applyAlignment="1">
      <alignment horizontal="right" vertical="center" wrapText="1"/>
    </xf>
    <xf numFmtId="0" fontId="66" fillId="0" borderId="0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vertical="center" wrapText="1"/>
    </xf>
    <xf numFmtId="0" fontId="67" fillId="0" borderId="0" xfId="0" applyFont="1" applyFill="1" applyBorder="1" applyAlignment="1">
      <alignment horizontal="left" vertical="center"/>
    </xf>
    <xf numFmtId="0" fontId="63" fillId="0" borderId="0" xfId="0" applyFont="1" applyFill="1" applyAlignment="1"/>
    <xf numFmtId="0" fontId="74" fillId="0" borderId="0" xfId="0" applyFont="1" applyFill="1" applyAlignment="1">
      <alignment vertical="center"/>
    </xf>
    <xf numFmtId="0" fontId="66" fillId="0" borderId="3" xfId="0" applyFont="1" applyFill="1" applyBorder="1" applyAlignment="1">
      <alignment horizontal="center" vertical="center" wrapText="1"/>
    </xf>
    <xf numFmtId="179" fontId="64" fillId="0" borderId="3" xfId="0" applyNumberFormat="1" applyFont="1" applyFill="1" applyBorder="1" applyAlignment="1">
      <alignment horizontal="center" vertical="center" wrapText="1"/>
    </xf>
    <xf numFmtId="169" fontId="66" fillId="0" borderId="3" xfId="0" applyNumberFormat="1" applyFont="1" applyFill="1" applyBorder="1" applyAlignment="1">
      <alignment horizontal="right" vertical="center"/>
    </xf>
    <xf numFmtId="178" fontId="64" fillId="0" borderId="3" xfId="0" applyNumberFormat="1" applyFont="1" applyFill="1" applyBorder="1" applyAlignment="1">
      <alignment horizontal="center" vertical="center" wrapText="1"/>
    </xf>
    <xf numFmtId="178" fontId="66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left" vertical="center" wrapText="1"/>
    </xf>
    <xf numFmtId="178" fontId="66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/>
    </xf>
    <xf numFmtId="179" fontId="66" fillId="0" borderId="0" xfId="0" applyNumberFormat="1" applyFont="1" applyFill="1" applyBorder="1" applyAlignment="1">
      <alignment vertical="center"/>
    </xf>
    <xf numFmtId="0" fontId="79" fillId="0" borderId="3" xfId="0" applyFont="1" applyFill="1" applyBorder="1" applyAlignment="1">
      <alignment vertical="center" wrapText="1"/>
    </xf>
    <xf numFmtId="0" fontId="64" fillId="0" borderId="3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left" vertical="center"/>
    </xf>
    <xf numFmtId="0" fontId="79" fillId="0" borderId="3" xfId="0" applyFont="1" applyFill="1" applyBorder="1" applyAlignment="1">
      <alignment vertical="center"/>
    </xf>
    <xf numFmtId="0" fontId="64" fillId="0" borderId="3" xfId="0" quotePrefix="1" applyFont="1" applyFill="1" applyBorder="1" applyAlignment="1">
      <alignment horizontal="center" vertical="center"/>
    </xf>
    <xf numFmtId="179" fontId="64" fillId="0" borderId="0" xfId="0" applyNumberFormat="1" applyFont="1" applyFill="1" applyBorder="1" applyAlignment="1">
      <alignment vertical="center"/>
    </xf>
    <xf numFmtId="178" fontId="66" fillId="0" borderId="3" xfId="0" applyNumberFormat="1" applyFont="1" applyFill="1" applyBorder="1" applyAlignment="1">
      <alignment horizontal="right" vertical="center"/>
    </xf>
    <xf numFmtId="0" fontId="71" fillId="0" borderId="0" xfId="0" applyFont="1" applyFill="1" applyBorder="1" applyAlignment="1">
      <alignment horizontal="center" vertical="center" wrapText="1"/>
    </xf>
    <xf numFmtId="0" fontId="66" fillId="0" borderId="0" xfId="0" quotePrefix="1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vertical="center"/>
    </xf>
    <xf numFmtId="178" fontId="66" fillId="0" borderId="0" xfId="0" applyNumberFormat="1" applyFont="1" applyFill="1" applyBorder="1" applyAlignment="1">
      <alignment horizontal="center" vertical="center" wrapText="1"/>
    </xf>
    <xf numFmtId="170" fontId="64" fillId="0" borderId="0" xfId="0" applyNumberFormat="1" applyFont="1" applyFill="1" applyBorder="1" applyAlignment="1">
      <alignment vertical="center"/>
    </xf>
    <xf numFmtId="179" fontId="64" fillId="0" borderId="0" xfId="0" applyNumberFormat="1" applyFont="1" applyFill="1" applyBorder="1" applyAlignment="1">
      <alignment horizontal="center" vertical="center"/>
    </xf>
    <xf numFmtId="178" fontId="64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vertical="center"/>
    </xf>
    <xf numFmtId="0" fontId="65" fillId="0" borderId="3" xfId="0" applyFont="1" applyFill="1" applyBorder="1" applyAlignment="1">
      <alignment horizontal="left" vertical="center"/>
    </xf>
    <xf numFmtId="49" fontId="64" fillId="0" borderId="3" xfId="0" applyNumberFormat="1" applyFont="1" applyFill="1" applyBorder="1" applyAlignment="1">
      <alignment horizontal="center" vertical="center"/>
    </xf>
    <xf numFmtId="49" fontId="80" fillId="0" borderId="3" xfId="0" applyNumberFormat="1" applyFont="1" applyFill="1" applyBorder="1" applyAlignment="1">
      <alignment horizontal="center" vertical="center"/>
    </xf>
    <xf numFmtId="0" fontId="80" fillId="0" borderId="3" xfId="0" applyFont="1" applyFill="1" applyBorder="1" applyAlignment="1">
      <alignment horizontal="left" vertical="center" wrapText="1"/>
    </xf>
    <xf numFmtId="0" fontId="80" fillId="0" borderId="3" xfId="0" applyFont="1" applyFill="1" applyBorder="1" applyAlignment="1">
      <alignment horizontal="center" vertical="center" wrapText="1"/>
    </xf>
    <xf numFmtId="178" fontId="76" fillId="0" borderId="3" xfId="0" applyNumberFormat="1" applyFont="1" applyFill="1" applyBorder="1" applyAlignment="1">
      <alignment horizontal="center" vertical="center" wrapText="1"/>
    </xf>
    <xf numFmtId="178" fontId="76" fillId="0" borderId="3" xfId="0" applyNumberFormat="1" applyFont="1" applyFill="1" applyBorder="1" applyAlignment="1">
      <alignment horizontal="center" vertical="center"/>
    </xf>
    <xf numFmtId="49" fontId="78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vertical="center"/>
    </xf>
    <xf numFmtId="0" fontId="80" fillId="0" borderId="3" xfId="0" applyFont="1" applyFill="1" applyBorder="1" applyAlignment="1">
      <alignment horizontal="center" vertical="center"/>
    </xf>
    <xf numFmtId="0" fontId="81" fillId="0" borderId="0" xfId="0" applyFont="1" applyFill="1" applyBorder="1" applyAlignment="1">
      <alignment vertical="center"/>
    </xf>
    <xf numFmtId="49" fontId="79" fillId="0" borderId="3" xfId="0" applyNumberFormat="1" applyFont="1" applyFill="1" applyBorder="1" applyAlignment="1">
      <alignment horizontal="center" vertical="center"/>
    </xf>
    <xf numFmtId="178" fontId="65" fillId="0" borderId="3" xfId="0" applyNumberFormat="1" applyFont="1" applyFill="1" applyBorder="1" applyAlignment="1">
      <alignment horizontal="center" vertical="center" wrapText="1"/>
    </xf>
    <xf numFmtId="178" fontId="66" fillId="0" borderId="0" xfId="0" applyNumberFormat="1" applyFont="1" applyFill="1" applyBorder="1" applyAlignment="1">
      <alignment horizontal="center"/>
    </xf>
    <xf numFmtId="179" fontId="66" fillId="0" borderId="0" xfId="0" applyNumberFormat="1" applyFont="1" applyFill="1" applyBorder="1" applyAlignment="1">
      <alignment horizontal="center"/>
    </xf>
    <xf numFmtId="49" fontId="77" fillId="0" borderId="3" xfId="0" applyNumberFormat="1" applyFont="1" applyFill="1" applyBorder="1" applyAlignment="1">
      <alignment horizontal="center" vertical="center"/>
    </xf>
    <xf numFmtId="169" fontId="66" fillId="0" borderId="0" xfId="0" applyNumberFormat="1" applyFont="1" applyFill="1" applyBorder="1" applyAlignment="1">
      <alignment vertical="center"/>
    </xf>
    <xf numFmtId="0" fontId="77" fillId="0" borderId="3" xfId="0" applyFont="1" applyFill="1" applyBorder="1" applyAlignment="1">
      <alignment horizontal="center" vertical="center"/>
    </xf>
    <xf numFmtId="178" fontId="82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left" vertical="center" wrapText="1"/>
    </xf>
    <xf numFmtId="0" fontId="80" fillId="0" borderId="15" xfId="0" applyFont="1" applyFill="1" applyBorder="1" applyAlignment="1">
      <alignment vertical="center"/>
    </xf>
    <xf numFmtId="0" fontId="80" fillId="0" borderId="3" xfId="0" applyFont="1" applyFill="1" applyBorder="1" applyAlignment="1">
      <alignment vertical="center" wrapText="1"/>
    </xf>
    <xf numFmtId="0" fontId="79" fillId="0" borderId="15" xfId="0" applyFont="1" applyFill="1" applyBorder="1" applyAlignment="1">
      <alignment vertical="center" wrapText="1"/>
    </xf>
    <xf numFmtId="0" fontId="79" fillId="0" borderId="15" xfId="0" applyFont="1" applyFill="1" applyBorder="1" applyAlignment="1">
      <alignment vertical="center"/>
    </xf>
    <xf numFmtId="0" fontId="77" fillId="0" borderId="3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horizontal="center" vertical="center" wrapText="1"/>
    </xf>
    <xf numFmtId="0" fontId="80" fillId="0" borderId="15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horizontal="left" vertical="center"/>
    </xf>
    <xf numFmtId="0" fontId="78" fillId="0" borderId="3" xfId="0" applyFont="1" applyFill="1" applyBorder="1" applyAlignment="1">
      <alignment horizontal="left" vertical="center"/>
    </xf>
    <xf numFmtId="0" fontId="79" fillId="0" borderId="13" xfId="0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horizontal="left" vertical="center" wrapText="1"/>
    </xf>
    <xf numFmtId="0" fontId="76" fillId="0" borderId="3" xfId="0" applyFont="1" applyFill="1" applyBorder="1" applyAlignment="1">
      <alignment vertical="center" wrapText="1"/>
    </xf>
    <xf numFmtId="0" fontId="76" fillId="0" borderId="3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vertical="center"/>
    </xf>
    <xf numFmtId="0" fontId="76" fillId="0" borderId="3" xfId="0" applyFont="1" applyFill="1" applyBorder="1" applyAlignment="1">
      <alignment horizontal="left" vertical="center"/>
    </xf>
    <xf numFmtId="49" fontId="76" fillId="0" borderId="3" xfId="0" applyNumberFormat="1" applyFont="1" applyFill="1" applyBorder="1" applyAlignment="1">
      <alignment horizontal="center" vertical="center"/>
    </xf>
    <xf numFmtId="0" fontId="76" fillId="0" borderId="3" xfId="0" applyFont="1" applyFill="1" applyBorder="1" applyAlignment="1">
      <alignment horizontal="left" vertical="center" wrapText="1"/>
    </xf>
    <xf numFmtId="49" fontId="66" fillId="0" borderId="3" xfId="0" applyNumberFormat="1" applyFont="1" applyFill="1" applyBorder="1" applyAlignment="1">
      <alignment horizontal="center" vertical="center"/>
    </xf>
    <xf numFmtId="49" fontId="65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vertical="center"/>
    </xf>
    <xf numFmtId="0" fontId="78" fillId="0" borderId="3" xfId="0" applyFont="1" applyFill="1" applyBorder="1" applyAlignment="1">
      <alignment vertical="center"/>
    </xf>
    <xf numFmtId="0" fontId="78" fillId="0" borderId="3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horizontal="left" vertical="center"/>
    </xf>
    <xf numFmtId="0" fontId="66" fillId="0" borderId="3" xfId="0" applyFont="1" applyFill="1" applyBorder="1" applyAlignment="1">
      <alignment horizontal="left" vertical="center" wrapText="1"/>
    </xf>
    <xf numFmtId="170" fontId="66" fillId="0" borderId="3" xfId="0" applyNumberFormat="1" applyFont="1" applyFill="1" applyBorder="1" applyAlignment="1">
      <alignment horizontal="right" vertical="center" wrapText="1"/>
    </xf>
    <xf numFmtId="0" fontId="71" fillId="0" borderId="0" xfId="0" applyFont="1" applyFill="1" applyBorder="1" applyAlignment="1">
      <alignment horizontal="center" wrapText="1"/>
    </xf>
    <xf numFmtId="0" fontId="64" fillId="0" borderId="0" xfId="0" applyFont="1" applyFill="1" applyBorder="1" applyAlignment="1">
      <alignment horizontal="center" vertical="center"/>
    </xf>
    <xf numFmtId="178" fontId="66" fillId="0" borderId="3" xfId="0" applyNumberFormat="1" applyFont="1" applyFill="1" applyBorder="1" applyAlignment="1">
      <alignment vertical="center"/>
    </xf>
    <xf numFmtId="0" fontId="66" fillId="0" borderId="3" xfId="0" applyFont="1" applyFill="1" applyBorder="1" applyAlignment="1">
      <alignment wrapText="1"/>
    </xf>
    <xf numFmtId="179" fontId="63" fillId="0" borderId="0" xfId="0" applyNumberFormat="1" applyFont="1" applyFill="1" applyAlignment="1">
      <alignment vertical="center"/>
    </xf>
    <xf numFmtId="180" fontId="66" fillId="0" borderId="0" xfId="0" applyNumberFormat="1" applyFont="1" applyFill="1" applyBorder="1" applyAlignment="1">
      <alignment vertical="center"/>
    </xf>
    <xf numFmtId="0" fontId="23" fillId="0" borderId="0" xfId="349" applyFill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0" fontId="76" fillId="0" borderId="0" xfId="0" applyFont="1" applyFill="1" applyBorder="1" applyAlignment="1">
      <alignment vertical="center"/>
    </xf>
    <xf numFmtId="0" fontId="65" fillId="0" borderId="0" xfId="0" applyFont="1" applyFill="1" applyBorder="1" applyAlignment="1">
      <alignment horizontal="center" vertical="center"/>
    </xf>
    <xf numFmtId="180" fontId="64" fillId="0" borderId="0" xfId="0" applyNumberFormat="1" applyFont="1" applyFill="1" applyBorder="1" applyAlignment="1">
      <alignment vertical="center"/>
    </xf>
    <xf numFmtId="0" fontId="76" fillId="0" borderId="0" xfId="0" applyFont="1" applyFill="1" applyBorder="1" applyAlignment="1">
      <alignment horizontal="center" vertical="center"/>
    </xf>
    <xf numFmtId="0" fontId="64" fillId="0" borderId="0" xfId="0" applyNumberFormat="1" applyFont="1" applyFill="1" applyBorder="1" applyAlignment="1">
      <alignment vertical="center"/>
    </xf>
    <xf numFmtId="0" fontId="76" fillId="0" borderId="0" xfId="0" applyNumberFormat="1" applyFont="1" applyFill="1" applyBorder="1" applyAlignment="1">
      <alignment vertical="center"/>
    </xf>
    <xf numFmtId="178" fontId="64" fillId="0" borderId="0" xfId="0" applyNumberFormat="1" applyFont="1" applyFill="1" applyBorder="1" applyAlignment="1">
      <alignment vertical="center"/>
    </xf>
    <xf numFmtId="0" fontId="65" fillId="0" borderId="3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right" vertical="center"/>
    </xf>
    <xf numFmtId="0" fontId="63" fillId="0" borderId="13" xfId="0" applyFont="1" applyFill="1" applyBorder="1" applyAlignment="1">
      <alignment vertical="center"/>
    </xf>
    <xf numFmtId="0" fontId="63" fillId="0" borderId="13" xfId="0" applyFont="1" applyFill="1" applyBorder="1" applyAlignment="1">
      <alignment horizontal="center" vertical="center"/>
    </xf>
    <xf numFmtId="0" fontId="63" fillId="0" borderId="17" xfId="0" applyFont="1" applyFill="1" applyBorder="1" applyAlignment="1">
      <alignment horizontal="center" vertical="center" wrapText="1"/>
    </xf>
    <xf numFmtId="0" fontId="67" fillId="0" borderId="3" xfId="0" applyFont="1" applyFill="1" applyBorder="1" applyAlignment="1">
      <alignment horizontal="center" vertical="center" wrapText="1"/>
    </xf>
    <xf numFmtId="178" fontId="83" fillId="0" borderId="3" xfId="0" applyNumberFormat="1" applyFont="1" applyFill="1" applyBorder="1" applyAlignment="1">
      <alignment horizontal="center" vertical="center" wrapText="1"/>
    </xf>
    <xf numFmtId="178" fontId="82" fillId="0" borderId="3" xfId="0" applyNumberFormat="1" applyFont="1" applyFill="1" applyBorder="1" applyAlignment="1">
      <alignment horizontal="center" vertical="center" wrapText="1"/>
    </xf>
    <xf numFmtId="0" fontId="67" fillId="0" borderId="15" xfId="0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169" fontId="63" fillId="0" borderId="0" xfId="0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right" vertical="center"/>
    </xf>
    <xf numFmtId="169" fontId="67" fillId="0" borderId="0" xfId="0" applyNumberFormat="1" applyFont="1" applyFill="1" applyBorder="1" applyAlignment="1">
      <alignment horizontal="right" vertical="center"/>
    </xf>
    <xf numFmtId="0" fontId="63" fillId="0" borderId="0" xfId="0" applyFont="1" applyFill="1" applyBorder="1" applyAlignment="1"/>
    <xf numFmtId="0" fontId="69" fillId="0" borderId="0" xfId="0" applyFont="1" applyFill="1" applyBorder="1" applyAlignment="1">
      <alignment horizontal="center" vertical="center"/>
    </xf>
    <xf numFmtId="0" fontId="69" fillId="0" borderId="18" xfId="0" applyFont="1" applyFill="1" applyBorder="1" applyAlignment="1">
      <alignment horizontal="center" vertical="center"/>
    </xf>
    <xf numFmtId="0" fontId="63" fillId="0" borderId="18" xfId="0" applyFont="1" applyFill="1" applyBorder="1" applyAlignment="1">
      <alignment horizontal="center" vertical="center"/>
    </xf>
    <xf numFmtId="0" fontId="63" fillId="0" borderId="0" xfId="0" applyFont="1" applyFill="1" applyAlignment="1">
      <alignment vertical="center" wrapText="1" shrinkToFit="1"/>
    </xf>
    <xf numFmtId="0" fontId="63" fillId="0" borderId="0" xfId="0" applyFont="1" applyFill="1" applyBorder="1" applyAlignment="1">
      <alignment vertical="center" wrapText="1" shrinkToFit="1"/>
    </xf>
    <xf numFmtId="0" fontId="66" fillId="0" borderId="3" xfId="0" applyFont="1" applyFill="1" applyBorder="1" applyAlignment="1">
      <alignment horizontal="center" vertical="center" wrapText="1" shrinkToFit="1"/>
    </xf>
    <xf numFmtId="0" fontId="76" fillId="0" borderId="3" xfId="0" quotePrefix="1" applyFont="1" applyFill="1" applyBorder="1" applyAlignment="1">
      <alignment horizontal="center" vertical="center"/>
    </xf>
    <xf numFmtId="0" fontId="66" fillId="0" borderId="3" xfId="0" quotePrefix="1" applyFont="1" applyFill="1" applyBorder="1" applyAlignment="1">
      <alignment horizontal="center" vertical="center"/>
    </xf>
    <xf numFmtId="178" fontId="88" fillId="0" borderId="3" xfId="0" applyNumberFormat="1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0" fontId="63" fillId="0" borderId="3" xfId="0" applyFont="1" applyFill="1" applyBorder="1" applyAlignment="1">
      <alignment horizontal="center" vertical="center"/>
    </xf>
    <xf numFmtId="49" fontId="89" fillId="0" borderId="3" xfId="0" applyNumberFormat="1" applyFont="1" applyFill="1" applyBorder="1" applyAlignment="1">
      <alignment horizontal="center" vertical="center"/>
    </xf>
    <xf numFmtId="178" fontId="81" fillId="0" borderId="3" xfId="0" applyNumberFormat="1" applyFont="1" applyFill="1" applyBorder="1" applyAlignment="1">
      <alignment horizontal="center" vertical="center" wrapText="1"/>
    </xf>
    <xf numFmtId="0" fontId="89" fillId="0" borderId="0" xfId="0" applyNumberFormat="1" applyFont="1" applyFill="1" applyBorder="1" applyAlignment="1">
      <alignment vertical="center"/>
    </xf>
    <xf numFmtId="0" fontId="89" fillId="0" borderId="0" xfId="0" applyFont="1" applyFill="1" applyBorder="1" applyAlignment="1">
      <alignment vertical="center"/>
    </xf>
    <xf numFmtId="178" fontId="81" fillId="0" borderId="0" xfId="0" applyNumberFormat="1" applyFont="1" applyFill="1" applyBorder="1" applyAlignment="1">
      <alignment horizontal="center"/>
    </xf>
    <xf numFmtId="170" fontId="66" fillId="0" borderId="0" xfId="0" applyNumberFormat="1" applyFont="1" applyFill="1" applyBorder="1" applyAlignment="1">
      <alignment horizontal="left" vertical="center" shrinkToFit="1"/>
    </xf>
    <xf numFmtId="179" fontId="66" fillId="0" borderId="0" xfId="0" applyNumberFormat="1" applyFont="1" applyFill="1" applyBorder="1" applyAlignment="1">
      <alignment horizontal="left" vertical="center"/>
    </xf>
    <xf numFmtId="179" fontId="81" fillId="0" borderId="0" xfId="0" applyNumberFormat="1" applyFont="1" applyFill="1" applyBorder="1" applyAlignment="1">
      <alignment vertical="center"/>
    </xf>
    <xf numFmtId="0" fontId="64" fillId="0" borderId="3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 vertical="center" wrapText="1"/>
    </xf>
    <xf numFmtId="0" fontId="79" fillId="0" borderId="16" xfId="0" applyFont="1" applyFill="1" applyBorder="1" applyAlignment="1">
      <alignment horizontal="left" vertical="center" wrapText="1"/>
    </xf>
    <xf numFmtId="170" fontId="66" fillId="0" borderId="3" xfId="0" applyNumberFormat="1" applyFont="1" applyFill="1" applyBorder="1" applyAlignment="1">
      <alignment vertical="center" wrapText="1"/>
    </xf>
    <xf numFmtId="178" fontId="66" fillId="0" borderId="3" xfId="0" applyNumberFormat="1" applyFont="1" applyFill="1" applyBorder="1" applyAlignment="1">
      <alignment vertical="center" wrapText="1"/>
    </xf>
    <xf numFmtId="178" fontId="77" fillId="0" borderId="3" xfId="0" applyNumberFormat="1" applyFont="1" applyFill="1" applyBorder="1" applyAlignment="1">
      <alignment horizontal="center" vertical="center" wrapText="1"/>
    </xf>
    <xf numFmtId="0" fontId="66" fillId="0" borderId="17" xfId="0" applyFont="1" applyFill="1" applyBorder="1" applyAlignment="1">
      <alignment horizontal="center" vertical="center" wrapText="1"/>
    </xf>
    <xf numFmtId="0" fontId="66" fillId="0" borderId="17" xfId="0" applyFont="1" applyFill="1" applyBorder="1" applyAlignment="1">
      <alignment horizontal="center" vertical="center"/>
    </xf>
    <xf numFmtId="0" fontId="66" fillId="0" borderId="17" xfId="0" applyFont="1" applyFill="1" applyBorder="1" applyAlignment="1">
      <alignment horizontal="center" vertical="center" wrapText="1" shrinkToFit="1"/>
    </xf>
    <xf numFmtId="0" fontId="66" fillId="0" borderId="16" xfId="0" applyFont="1" applyFill="1" applyBorder="1" applyAlignment="1">
      <alignment horizontal="center" vertical="center" wrapText="1"/>
    </xf>
    <xf numFmtId="0" fontId="90" fillId="0" borderId="3" xfId="0" applyFont="1" applyFill="1" applyBorder="1" applyAlignment="1">
      <alignment horizontal="left" vertical="center" wrapText="1"/>
    </xf>
    <xf numFmtId="0" fontId="91" fillId="0" borderId="3" xfId="0" applyFont="1" applyFill="1" applyBorder="1" applyAlignment="1">
      <alignment horizontal="center" vertical="center" wrapText="1"/>
    </xf>
    <xf numFmtId="178" fontId="91" fillId="0" borderId="3" xfId="0" applyNumberFormat="1" applyFont="1" applyFill="1" applyBorder="1" applyAlignment="1">
      <alignment horizontal="center" vertical="center" wrapText="1"/>
    </xf>
    <xf numFmtId="178" fontId="91" fillId="0" borderId="3" xfId="0" applyNumberFormat="1" applyFont="1" applyFill="1" applyBorder="1" applyAlignment="1">
      <alignment vertical="center"/>
    </xf>
    <xf numFmtId="0" fontId="92" fillId="0" borderId="3" xfId="0" applyFont="1" applyFill="1" applyBorder="1" applyAlignment="1">
      <alignment horizontal="left" vertical="center" wrapText="1"/>
    </xf>
    <xf numFmtId="0" fontId="92" fillId="0" borderId="3" xfId="0" applyFont="1" applyFill="1" applyBorder="1" applyAlignment="1">
      <alignment horizontal="center" vertical="center" wrapText="1"/>
    </xf>
    <xf numFmtId="178" fontId="92" fillId="0" borderId="3" xfId="0" applyNumberFormat="1" applyFont="1" applyFill="1" applyBorder="1" applyAlignment="1">
      <alignment horizontal="center" vertical="center" wrapText="1"/>
    </xf>
    <xf numFmtId="178" fontId="93" fillId="0" borderId="3" xfId="0" applyNumberFormat="1" applyFont="1" applyFill="1" applyBorder="1" applyAlignment="1">
      <alignment horizontal="center" vertical="center" wrapText="1"/>
    </xf>
    <xf numFmtId="178" fontId="93" fillId="0" borderId="3" xfId="0" applyNumberFormat="1" applyFont="1" applyFill="1" applyBorder="1" applyAlignment="1">
      <alignment vertical="center"/>
    </xf>
    <xf numFmtId="178" fontId="92" fillId="0" borderId="3" xfId="0" applyNumberFormat="1" applyFont="1" applyFill="1" applyBorder="1" applyAlignment="1">
      <alignment vertical="center"/>
    </xf>
    <xf numFmtId="178" fontId="94" fillId="0" borderId="3" xfId="0" applyNumberFormat="1" applyFont="1" applyFill="1" applyBorder="1" applyAlignment="1">
      <alignment vertical="center"/>
    </xf>
    <xf numFmtId="178" fontId="91" fillId="0" borderId="16" xfId="0" applyNumberFormat="1" applyFont="1" applyFill="1" applyBorder="1" applyAlignment="1">
      <alignment horizontal="center" vertical="center" wrapText="1"/>
    </xf>
    <xf numFmtId="0" fontId="91" fillId="0" borderId="3" xfId="0" applyFont="1" applyFill="1" applyBorder="1" applyAlignment="1">
      <alignment horizontal="left" vertical="center" wrapText="1"/>
    </xf>
    <xf numFmtId="178" fontId="95" fillId="0" borderId="3" xfId="0" applyNumberFormat="1" applyFont="1" applyFill="1" applyBorder="1" applyAlignment="1">
      <alignment vertical="center"/>
    </xf>
    <xf numFmtId="178" fontId="96" fillId="0" borderId="3" xfId="0" applyNumberFormat="1" applyFont="1" applyFill="1" applyBorder="1" applyAlignment="1">
      <alignment vertical="center"/>
    </xf>
    <xf numFmtId="0" fontId="92" fillId="0" borderId="3" xfId="0" quotePrefix="1" applyFont="1" applyFill="1" applyBorder="1" applyAlignment="1">
      <alignment horizontal="center" vertical="center"/>
    </xf>
    <xf numFmtId="0" fontId="64" fillId="0" borderId="0" xfId="0" quotePrefix="1" applyFont="1" applyFill="1" applyBorder="1" applyAlignment="1">
      <alignment horizontal="center" vertical="center"/>
    </xf>
    <xf numFmtId="0" fontId="91" fillId="0" borderId="3" xfId="0" quotePrefix="1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 wrapText="1"/>
    </xf>
    <xf numFmtId="0" fontId="66" fillId="0" borderId="15" xfId="0" applyFont="1" applyFill="1" applyBorder="1" applyAlignment="1">
      <alignment horizontal="left" vertical="center" wrapText="1"/>
    </xf>
    <xf numFmtId="0" fontId="67" fillId="0" borderId="0" xfId="0" applyFont="1" applyFill="1" applyAlignment="1">
      <alignment vertical="center"/>
    </xf>
    <xf numFmtId="178" fontId="97" fillId="0" borderId="3" xfId="0" applyNumberFormat="1" applyFont="1" applyFill="1" applyBorder="1" applyAlignment="1">
      <alignment horizontal="center" vertical="center"/>
    </xf>
    <xf numFmtId="178" fontId="83" fillId="0" borderId="3" xfId="0" applyNumberFormat="1" applyFont="1" applyFill="1" applyBorder="1" applyAlignment="1">
      <alignment horizontal="center" vertical="center"/>
    </xf>
    <xf numFmtId="178" fontId="64" fillId="0" borderId="3" xfId="0" applyNumberFormat="1" applyFont="1" applyFill="1" applyBorder="1" applyAlignment="1">
      <alignment vertical="center"/>
    </xf>
    <xf numFmtId="0" fontId="92" fillId="0" borderId="3" xfId="0" applyFont="1" applyFill="1" applyBorder="1" applyAlignment="1">
      <alignment horizontal="left" wrapText="1"/>
    </xf>
    <xf numFmtId="0" fontId="66" fillId="29" borderId="3" xfId="0" applyFont="1" applyFill="1" applyBorder="1" applyAlignment="1">
      <alignment vertical="center" wrapText="1"/>
    </xf>
    <xf numFmtId="0" fontId="66" fillId="29" borderId="3" xfId="0" applyFont="1" applyFill="1" applyBorder="1" applyAlignment="1">
      <alignment vertical="center"/>
    </xf>
    <xf numFmtId="0" fontId="66" fillId="0" borderId="13" xfId="0" applyFont="1" applyFill="1" applyBorder="1" applyAlignment="1">
      <alignment horizontal="center" vertical="center"/>
    </xf>
    <xf numFmtId="178" fontId="64" fillId="29" borderId="3" xfId="0" applyNumberFormat="1" applyFont="1" applyFill="1" applyBorder="1" applyAlignment="1">
      <alignment vertical="center"/>
    </xf>
    <xf numFmtId="178" fontId="82" fillId="29" borderId="3" xfId="0" applyNumberFormat="1" applyFont="1" applyFill="1" applyBorder="1" applyAlignment="1">
      <alignment vertical="center"/>
    </xf>
    <xf numFmtId="178" fontId="83" fillId="29" borderId="3" xfId="0" applyNumberFormat="1" applyFont="1" applyFill="1" applyBorder="1" applyAlignment="1">
      <alignment vertical="center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left" vertical="center" wrapText="1"/>
    </xf>
    <xf numFmtId="0" fontId="64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left" vertical="center"/>
    </xf>
    <xf numFmtId="0" fontId="64" fillId="0" borderId="0" xfId="0" applyFont="1" applyFill="1" applyBorder="1" applyAlignment="1">
      <alignment horizontal="center" vertical="center" wrapText="1"/>
    </xf>
    <xf numFmtId="0" fontId="70" fillId="0" borderId="0" xfId="0" applyFont="1" applyFill="1" applyBorder="1" applyAlignment="1">
      <alignment horizontal="center" wrapText="1"/>
    </xf>
    <xf numFmtId="0" fontId="63" fillId="0" borderId="0" xfId="0" applyFont="1" applyFill="1" applyBorder="1" applyAlignment="1">
      <alignment horizontal="center"/>
    </xf>
    <xf numFmtId="0" fontId="63" fillId="0" borderId="0" xfId="0" applyFont="1" applyFill="1" applyAlignment="1">
      <alignment horizontal="center" vertical="center"/>
    </xf>
    <xf numFmtId="0" fontId="66" fillId="0" borderId="15" xfId="0" applyFont="1" applyFill="1" applyBorder="1" applyAlignment="1">
      <alignment horizontal="left" vertical="center" wrapText="1"/>
    </xf>
    <xf numFmtId="0" fontId="79" fillId="0" borderId="15" xfId="0" applyFont="1" applyFill="1" applyBorder="1" applyAlignment="1">
      <alignment horizontal="left" vertical="center" wrapText="1"/>
    </xf>
    <xf numFmtId="0" fontId="79" fillId="0" borderId="16" xfId="0" applyFont="1" applyFill="1" applyBorder="1" applyAlignment="1">
      <alignment horizontal="left" vertical="center" wrapText="1"/>
    </xf>
    <xf numFmtId="0" fontId="63" fillId="0" borderId="3" xfId="0" applyFont="1" applyFill="1" applyBorder="1" applyAlignment="1">
      <alignment horizontal="center" vertical="center" wrapText="1"/>
    </xf>
    <xf numFmtId="0" fontId="64" fillId="0" borderId="14" xfId="0" applyFont="1" applyFill="1" applyBorder="1" applyAlignment="1">
      <alignment horizontal="left" vertical="center" wrapText="1"/>
    </xf>
    <xf numFmtId="0" fontId="64" fillId="0" borderId="3" xfId="0" applyFont="1" applyFill="1" applyBorder="1" applyAlignment="1">
      <alignment horizontal="left" vertical="center" wrapText="1"/>
    </xf>
    <xf numFmtId="0" fontId="71" fillId="0" borderId="0" xfId="0" applyFont="1" applyFill="1" applyBorder="1" applyAlignment="1">
      <alignment horizontal="center"/>
    </xf>
    <xf numFmtId="0" fontId="66" fillId="0" borderId="0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 wrapText="1"/>
    </xf>
    <xf numFmtId="170" fontId="66" fillId="0" borderId="1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left" vertical="center"/>
    </xf>
    <xf numFmtId="170" fontId="66" fillId="0" borderId="13" xfId="0" applyNumberFormat="1" applyFont="1" applyFill="1" applyBorder="1" applyAlignment="1">
      <alignment horizontal="left" vertical="center" wrapText="1"/>
    </xf>
    <xf numFmtId="0" fontId="64" fillId="0" borderId="0" xfId="0" applyFont="1" applyFill="1" applyBorder="1" applyAlignment="1">
      <alignment horizontal="center" vertical="center" wrapText="1"/>
    </xf>
    <xf numFmtId="170" fontId="64" fillId="0" borderId="13" xfId="0" quotePrefix="1" applyNumberFormat="1" applyFont="1" applyFill="1" applyBorder="1" applyAlignment="1">
      <alignment horizontal="center" wrapText="1"/>
    </xf>
    <xf numFmtId="0" fontId="66" fillId="0" borderId="15" xfId="0" applyFont="1" applyFill="1" applyBorder="1" applyAlignment="1">
      <alignment horizontal="left" vertical="center" wrapText="1"/>
    </xf>
    <xf numFmtId="0" fontId="66" fillId="0" borderId="14" xfId="0" applyFont="1" applyFill="1" applyBorder="1" applyAlignment="1">
      <alignment horizontal="left" vertical="center" wrapText="1"/>
    </xf>
    <xf numFmtId="0" fontId="66" fillId="0" borderId="16" xfId="0" applyFont="1" applyFill="1" applyBorder="1" applyAlignment="1">
      <alignment horizontal="left" vertical="center" wrapText="1"/>
    </xf>
    <xf numFmtId="0" fontId="66" fillId="0" borderId="15" xfId="0" applyFont="1" applyFill="1" applyBorder="1" applyAlignment="1">
      <alignment horizontal="left" vertical="center"/>
    </xf>
    <xf numFmtId="0" fontId="66" fillId="0" borderId="14" xfId="0" applyFont="1" applyFill="1" applyBorder="1" applyAlignment="1">
      <alignment horizontal="left" vertical="center"/>
    </xf>
    <xf numFmtId="0" fontId="66" fillId="0" borderId="16" xfId="0" applyFont="1" applyFill="1" applyBorder="1" applyAlignment="1">
      <alignment horizontal="left" vertical="center"/>
    </xf>
    <xf numFmtId="0" fontId="64" fillId="0" borderId="15" xfId="0" applyFont="1" applyFill="1" applyBorder="1" applyAlignment="1">
      <alignment horizontal="left" vertical="center" wrapText="1"/>
    </xf>
    <xf numFmtId="0" fontId="64" fillId="0" borderId="14" xfId="0" applyFont="1" applyFill="1" applyBorder="1" applyAlignment="1">
      <alignment horizontal="left" vertical="center" wrapText="1"/>
    </xf>
    <xf numFmtId="0" fontId="64" fillId="0" borderId="16" xfId="0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43" fontId="66" fillId="0" borderId="15" xfId="353" applyFont="1" applyFill="1" applyBorder="1" applyAlignment="1">
      <alignment horizontal="left" vertical="center" wrapText="1"/>
    </xf>
    <xf numFmtId="43" fontId="66" fillId="0" borderId="14" xfId="353" applyFont="1" applyFill="1" applyBorder="1" applyAlignment="1">
      <alignment horizontal="left" vertical="center" wrapText="1"/>
    </xf>
    <xf numFmtId="43" fontId="66" fillId="0" borderId="16" xfId="353" applyFont="1" applyFill="1" applyBorder="1" applyAlignment="1">
      <alignment horizontal="left" vertical="center" wrapText="1"/>
    </xf>
    <xf numFmtId="0" fontId="74" fillId="0" borderId="0" xfId="0" applyFont="1" applyFill="1" applyAlignment="1">
      <alignment vertical="center" wrapText="1"/>
    </xf>
    <xf numFmtId="0" fontId="75" fillId="0" borderId="0" xfId="0" applyFont="1" applyFill="1" applyAlignment="1">
      <alignment vertical="center" wrapText="1"/>
    </xf>
    <xf numFmtId="0" fontId="70" fillId="0" borderId="0" xfId="0" applyFont="1" applyFill="1" applyBorder="1" applyAlignment="1">
      <alignment horizontal="center" wrapText="1"/>
    </xf>
    <xf numFmtId="0" fontId="73" fillId="0" borderId="0" xfId="0" applyFont="1" applyFill="1" applyAlignment="1">
      <alignment horizontal="center"/>
    </xf>
    <xf numFmtId="0" fontId="63" fillId="0" borderId="0" xfId="0" applyFont="1" applyFill="1" applyBorder="1" applyAlignment="1">
      <alignment horizontal="center"/>
    </xf>
    <xf numFmtId="0" fontId="64" fillId="0" borderId="13" xfId="0" applyFont="1" applyFill="1" applyBorder="1" applyAlignment="1">
      <alignment horizontal="center"/>
    </xf>
    <xf numFmtId="0" fontId="63" fillId="0" borderId="0" xfId="0" applyFont="1" applyFill="1" applyAlignment="1">
      <alignment horizontal="center" vertical="center"/>
    </xf>
    <xf numFmtId="3" fontId="67" fillId="0" borderId="15" xfId="0" applyNumberFormat="1" applyFont="1" applyFill="1" applyBorder="1" applyAlignment="1">
      <alignment horizontal="left" vertical="center" wrapText="1"/>
    </xf>
    <xf numFmtId="3" fontId="67" fillId="0" borderId="14" xfId="0" applyNumberFormat="1" applyFont="1" applyFill="1" applyBorder="1" applyAlignment="1">
      <alignment horizontal="left" vertical="center" wrapText="1"/>
    </xf>
    <xf numFmtId="0" fontId="79" fillId="0" borderId="15" xfId="0" applyFont="1" applyFill="1" applyBorder="1" applyAlignment="1">
      <alignment horizontal="left" vertical="center" wrapText="1"/>
    </xf>
    <xf numFmtId="0" fontId="79" fillId="0" borderId="14" xfId="0" applyFont="1" applyFill="1" applyBorder="1" applyAlignment="1">
      <alignment horizontal="left" vertical="center" wrapText="1"/>
    </xf>
    <xf numFmtId="0" fontId="79" fillId="0" borderId="16" xfId="0" applyFont="1" applyFill="1" applyBorder="1" applyAlignment="1">
      <alignment horizontal="left" vertical="center" wrapText="1"/>
    </xf>
    <xf numFmtId="170" fontId="66" fillId="0" borderId="0" xfId="0" applyNumberFormat="1" applyFont="1" applyFill="1" applyBorder="1" applyAlignment="1">
      <alignment horizontal="left" vertical="center" wrapText="1"/>
    </xf>
    <xf numFmtId="0" fontId="68" fillId="0" borderId="0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0" fontId="69" fillId="0" borderId="0" xfId="0" applyFont="1" applyFill="1" applyAlignment="1">
      <alignment horizontal="center" vertical="center"/>
    </xf>
    <xf numFmtId="0" fontId="63" fillId="0" borderId="3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 shrinkToFit="1"/>
    </xf>
    <xf numFmtId="0" fontId="68" fillId="0" borderId="3" xfId="0" applyFont="1" applyFill="1" applyBorder="1" applyAlignment="1">
      <alignment horizontal="center" vertical="center" wrapText="1"/>
    </xf>
    <xf numFmtId="0" fontId="67" fillId="0" borderId="3" xfId="182" applyFont="1" applyFill="1" applyBorder="1" applyAlignment="1">
      <alignment vertical="center" wrapText="1"/>
      <protection locked="0"/>
    </xf>
    <xf numFmtId="0" fontId="67" fillId="0" borderId="3" xfId="0" applyFont="1" applyFill="1" applyBorder="1" applyAlignment="1">
      <alignment horizontal="center" vertical="center"/>
    </xf>
    <xf numFmtId="169" fontId="63" fillId="0" borderId="0" xfId="0" applyNumberFormat="1" applyFont="1" applyFill="1" applyBorder="1" applyAlignment="1">
      <alignment vertical="center"/>
    </xf>
    <xf numFmtId="0" fontId="63" fillId="0" borderId="3" xfId="0" applyFont="1" applyFill="1" applyBorder="1" applyAlignment="1">
      <alignment horizontal="left" vertical="center" wrapText="1"/>
    </xf>
    <xf numFmtId="178" fontId="63" fillId="0" borderId="3" xfId="0" applyNumberFormat="1" applyFont="1" applyFill="1" applyBorder="1" applyAlignment="1">
      <alignment horizontal="center" vertical="center" wrapText="1"/>
    </xf>
    <xf numFmtId="178" fontId="84" fillId="0" borderId="3" xfId="0" applyNumberFormat="1" applyFont="1" applyFill="1" applyBorder="1" applyAlignment="1">
      <alignment horizontal="center" vertical="center" wrapText="1"/>
    </xf>
    <xf numFmtId="0" fontId="63" fillId="0" borderId="3" xfId="182" applyFont="1" applyFill="1" applyBorder="1" applyAlignment="1">
      <alignment vertical="center" wrapText="1"/>
      <protection locked="0"/>
    </xf>
    <xf numFmtId="178" fontId="85" fillId="0" borderId="3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vertical="center"/>
    </xf>
    <xf numFmtId="0" fontId="67" fillId="0" borderId="3" xfId="0" applyFont="1" applyFill="1" applyBorder="1" applyAlignment="1">
      <alignment horizontal="center" vertical="center" wrapText="1"/>
    </xf>
    <xf numFmtId="170" fontId="63" fillId="0" borderId="3" xfId="0" applyNumberFormat="1" applyFont="1" applyFill="1" applyBorder="1" applyAlignment="1">
      <alignment horizontal="center" vertical="center" wrapText="1"/>
    </xf>
    <xf numFmtId="0" fontId="67" fillId="0" borderId="3" xfId="0" applyFont="1" applyFill="1" applyBorder="1" applyAlignment="1">
      <alignment horizontal="left" vertical="center" wrapText="1"/>
    </xf>
    <xf numFmtId="170" fontId="67" fillId="0" borderId="3" xfId="0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/>
    </xf>
    <xf numFmtId="0" fontId="67" fillId="0" borderId="3" xfId="245" applyFont="1" applyFill="1" applyBorder="1" applyAlignment="1">
      <alignment horizontal="left" vertical="center" wrapText="1"/>
    </xf>
    <xf numFmtId="0" fontId="63" fillId="0" borderId="3" xfId="245" applyFont="1" applyFill="1" applyBorder="1" applyAlignment="1">
      <alignment horizontal="left" vertical="center" wrapText="1"/>
    </xf>
    <xf numFmtId="0" fontId="67" fillId="0" borderId="3" xfId="0" applyFont="1" applyFill="1" applyBorder="1" applyAlignment="1" applyProtection="1">
      <alignment horizontal="left" vertical="center" wrapText="1"/>
      <protection locked="0"/>
    </xf>
    <xf numFmtId="0" fontId="67" fillId="0" borderId="15" xfId="0" applyFont="1" applyFill="1" applyBorder="1" applyAlignment="1" applyProtection="1">
      <alignment horizontal="center" vertical="center" wrapText="1"/>
      <protection locked="0"/>
    </xf>
    <xf numFmtId="0" fontId="67" fillId="0" borderId="14" xfId="0" applyFont="1" applyFill="1" applyBorder="1" applyAlignment="1" applyProtection="1">
      <alignment horizontal="center" vertical="center" wrapText="1"/>
      <protection locked="0"/>
    </xf>
    <xf numFmtId="0" fontId="67" fillId="0" borderId="16" xfId="0" applyFont="1" applyFill="1" applyBorder="1" applyAlignment="1" applyProtection="1">
      <alignment horizontal="center" vertical="center" wrapText="1"/>
      <protection locked="0"/>
    </xf>
    <xf numFmtId="0" fontId="67" fillId="0" borderId="3" xfId="0" applyFont="1" applyFill="1" applyBorder="1" applyAlignment="1" applyProtection="1">
      <alignment horizontal="center" vertical="center" wrapText="1"/>
      <protection locked="0"/>
    </xf>
    <xf numFmtId="181" fontId="67" fillId="0" borderId="3" xfId="0" applyNumberFormat="1" applyFont="1" applyFill="1" applyBorder="1" applyAlignment="1">
      <alignment horizontal="center" vertical="center" wrapText="1"/>
    </xf>
    <xf numFmtId="181" fontId="63" fillId="0" borderId="3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left" vertical="center" wrapText="1"/>
    </xf>
    <xf numFmtId="0" fontId="69" fillId="0" borderId="3" xfId="0" applyFont="1" applyFill="1" applyBorder="1" applyAlignment="1">
      <alignment horizontal="center" vertical="center"/>
    </xf>
    <xf numFmtId="181" fontId="69" fillId="0" borderId="3" xfId="0" applyNumberFormat="1" applyFont="1" applyFill="1" applyBorder="1" applyAlignment="1">
      <alignment horizontal="center" vertical="center" wrapText="1"/>
    </xf>
    <xf numFmtId="181" fontId="84" fillId="0" borderId="3" xfId="0" applyNumberFormat="1" applyFont="1" applyFill="1" applyBorder="1" applyAlignment="1">
      <alignment horizontal="center" vertical="center" wrapText="1"/>
    </xf>
    <xf numFmtId="0" fontId="63" fillId="0" borderId="3" xfId="0" applyFont="1" applyFill="1" applyBorder="1" applyAlignment="1" applyProtection="1">
      <alignment horizontal="left" vertical="center" wrapText="1"/>
      <protection locked="0"/>
    </xf>
    <xf numFmtId="0" fontId="69" fillId="0" borderId="3" xfId="0" applyFont="1" applyFill="1" applyBorder="1" applyAlignment="1">
      <alignment horizontal="center" vertical="center" wrapText="1"/>
    </xf>
    <xf numFmtId="181" fontId="85" fillId="0" borderId="3" xfId="0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 applyProtection="1">
      <alignment horizontal="center" vertical="center"/>
      <protection locked="0"/>
    </xf>
    <xf numFmtId="0" fontId="68" fillId="0" borderId="3" xfId="0" applyFont="1" applyFill="1" applyBorder="1" applyAlignment="1">
      <alignment horizontal="center" vertical="center"/>
    </xf>
    <xf numFmtId="49" fontId="67" fillId="0" borderId="3" xfId="0" applyNumberFormat="1" applyFont="1" applyFill="1" applyBorder="1" applyAlignment="1">
      <alignment horizontal="center" vertical="center"/>
    </xf>
    <xf numFmtId="177" fontId="67" fillId="0" borderId="3" xfId="0" applyNumberFormat="1" applyFont="1" applyFill="1" applyBorder="1" applyAlignment="1">
      <alignment horizontal="right" vertical="center" wrapText="1"/>
    </xf>
    <xf numFmtId="177" fontId="67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horizontal="center" vertical="center"/>
    </xf>
    <xf numFmtId="177" fontId="63" fillId="0" borderId="3" xfId="0" applyNumberFormat="1" applyFont="1" applyFill="1" applyBorder="1" applyAlignment="1">
      <alignment horizontal="right" vertical="center" wrapText="1"/>
    </xf>
    <xf numFmtId="177" fontId="63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vertical="center"/>
    </xf>
    <xf numFmtId="0" fontId="86" fillId="0" borderId="0" xfId="0" applyFont="1" applyFill="1" applyBorder="1" applyAlignment="1" applyProtection="1">
      <alignment horizontal="left" vertical="center" wrapText="1"/>
      <protection locked="0"/>
    </xf>
    <xf numFmtId="49" fontId="86" fillId="0" borderId="0" xfId="0" applyNumberFormat="1" applyFont="1" applyFill="1" applyBorder="1" applyAlignment="1">
      <alignment horizontal="center" vertical="center"/>
    </xf>
    <xf numFmtId="177" fontId="86" fillId="0" borderId="0" xfId="0" applyNumberFormat="1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right" vertical="center" wrapText="1"/>
    </xf>
    <xf numFmtId="0" fontId="87" fillId="0" borderId="0" xfId="182" applyFont="1" applyFill="1" applyBorder="1" applyAlignment="1">
      <alignment vertical="center" wrapText="1"/>
      <protection locked="0"/>
    </xf>
    <xf numFmtId="0" fontId="87" fillId="0" borderId="0" xfId="0" applyFont="1" applyFill="1" applyBorder="1" applyAlignment="1">
      <alignment horizontal="center" vertical="center"/>
    </xf>
    <xf numFmtId="177" fontId="87" fillId="0" borderId="0" xfId="0" applyNumberFormat="1" applyFont="1" applyFill="1" applyBorder="1" applyAlignment="1">
      <alignment horizontal="center" vertical="center" wrapText="1"/>
    </xf>
    <xf numFmtId="178" fontId="63" fillId="0" borderId="3" xfId="0" applyNumberFormat="1" applyFont="1" applyFill="1" applyBorder="1" applyAlignment="1">
      <alignment horizontal="right" vertical="center" wrapText="1"/>
    </xf>
    <xf numFmtId="170" fontId="63" fillId="0" borderId="3" xfId="0" applyNumberFormat="1" applyFont="1" applyFill="1" applyBorder="1" applyAlignment="1">
      <alignment horizontal="right" vertical="center" wrapText="1"/>
    </xf>
    <xf numFmtId="170" fontId="87" fillId="0" borderId="3" xfId="0" applyNumberFormat="1" applyFont="1" applyFill="1" applyBorder="1" applyAlignment="1">
      <alignment horizontal="right" vertical="center" wrapText="1"/>
    </xf>
    <xf numFmtId="0" fontId="86" fillId="0" borderId="0" xfId="182" applyFont="1" applyFill="1" applyBorder="1" applyAlignment="1">
      <alignment vertical="center" wrapText="1"/>
      <protection locked="0"/>
    </xf>
    <xf numFmtId="0" fontId="86" fillId="0" borderId="0" xfId="0" applyFont="1" applyFill="1" applyBorder="1" applyAlignment="1">
      <alignment horizontal="center" vertical="center"/>
    </xf>
    <xf numFmtId="178" fontId="86" fillId="0" borderId="0" xfId="0" applyNumberFormat="1" applyFont="1" applyFill="1" applyBorder="1" applyAlignment="1">
      <alignment horizontal="center" vertical="center" wrapText="1"/>
    </xf>
    <xf numFmtId="178" fontId="86" fillId="0" borderId="3" xfId="0" applyNumberFormat="1" applyFont="1" applyFill="1" applyBorder="1" applyAlignment="1">
      <alignment horizontal="right" vertical="center" wrapText="1"/>
    </xf>
    <xf numFmtId="178" fontId="87" fillId="0" borderId="0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horizontal="center" vertical="center"/>
    </xf>
    <xf numFmtId="0" fontId="67" fillId="0" borderId="0" xfId="0" applyFont="1" applyFill="1" applyBorder="1" applyAlignment="1" applyProtection="1">
      <alignment horizontal="left" vertical="center"/>
      <protection locked="0"/>
    </xf>
    <xf numFmtId="170" fontId="67" fillId="0" borderId="0" xfId="0" applyNumberFormat="1" applyFont="1" applyFill="1" applyBorder="1" applyAlignment="1">
      <alignment horizontal="center" vertical="center" wrapText="1"/>
    </xf>
    <xf numFmtId="170" fontId="67" fillId="0" borderId="0" xfId="0" applyNumberFormat="1" applyFont="1" applyFill="1" applyBorder="1" applyAlignment="1">
      <alignment horizontal="right" vertical="center" wrapText="1"/>
    </xf>
    <xf numFmtId="170" fontId="63" fillId="0" borderId="0" xfId="0" applyNumberFormat="1" applyFont="1" applyFill="1" applyBorder="1" applyAlignment="1">
      <alignment horizontal="center" vertical="center" wrapText="1"/>
    </xf>
    <xf numFmtId="0" fontId="63" fillId="0" borderId="0" xfId="0" quotePrefix="1" applyFont="1" applyFill="1" applyBorder="1" applyAlignment="1">
      <alignment horizontal="center" vertical="center"/>
    </xf>
    <xf numFmtId="170" fontId="63" fillId="0" borderId="13" xfId="0" applyNumberFormat="1" applyFont="1" applyFill="1" applyBorder="1" applyAlignment="1">
      <alignment horizontal="center" vertical="center" wrapText="1"/>
    </xf>
    <xf numFmtId="170" fontId="63" fillId="0" borderId="13" xfId="0" quotePrefix="1" applyNumberFormat="1" applyFont="1" applyFill="1" applyBorder="1" applyAlignment="1">
      <alignment horizontal="center" vertical="center" wrapText="1"/>
    </xf>
    <xf numFmtId="170" fontId="69" fillId="0" borderId="0" xfId="0" applyNumberFormat="1" applyFont="1" applyFill="1" applyBorder="1" applyAlignment="1">
      <alignment vertical="center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0" fontId="63" fillId="0" borderId="0" xfId="0" applyFont="1" applyFill="1" applyBorder="1" applyAlignment="1">
      <alignment vertical="center" wrapText="1"/>
    </xf>
  </cellXfs>
  <cellStyles count="356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4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5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" xfId="353" builtinId="3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база  "/>
      <sheetName val="Links"/>
      <sheetName val="Lead"/>
      <sheetName val="МТР_Газ_Україн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gdp"/>
      <sheetName val="1993"/>
      <sheetName val="Додаток 3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gdp"/>
      <sheetName val="до викупа"/>
      <sheetName val="Лист1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7  інші витрати"/>
      <sheetName val="Ener "/>
      <sheetName val="gdp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R300"/>
  <sheetViews>
    <sheetView tabSelected="1" view="pageBreakPreview" topLeftCell="A15" zoomScale="60" zoomScaleNormal="75" workbookViewId="0">
      <selection activeCell="K30" sqref="K28:K30"/>
    </sheetView>
  </sheetViews>
  <sheetFormatPr defaultRowHeight="20.25"/>
  <cols>
    <col min="1" max="1" width="65.42578125" style="131" customWidth="1"/>
    <col min="2" max="2" width="17.28515625" style="102" customWidth="1"/>
    <col min="3" max="4" width="18" style="102" customWidth="1"/>
    <col min="5" max="5" width="18.7109375" style="131" customWidth="1"/>
    <col min="6" max="6" width="19" style="131" customWidth="1"/>
    <col min="7" max="7" width="18.7109375" style="131" customWidth="1"/>
    <col min="8" max="8" width="19.7109375" style="131" customWidth="1"/>
    <col min="9" max="9" width="22.85546875" style="131" customWidth="1"/>
    <col min="10" max="10" width="18.85546875" style="131" customWidth="1"/>
    <col min="11" max="11" width="17.42578125" style="131" customWidth="1"/>
    <col min="12" max="12" width="13.85546875" style="131" customWidth="1"/>
    <col min="13" max="13" width="17" style="131" customWidth="1"/>
    <col min="14" max="16" width="9.140625" style="131"/>
    <col min="17" max="17" width="11.42578125" style="131" bestFit="1" customWidth="1"/>
    <col min="18" max="18" width="18.5703125" style="131" customWidth="1"/>
    <col min="19" max="16384" width="9.140625" style="131"/>
  </cols>
  <sheetData>
    <row r="1" spans="1:10" ht="111" customHeight="1">
      <c r="A1" s="241" t="s">
        <v>479</v>
      </c>
      <c r="B1" s="242"/>
      <c r="C1" s="242"/>
      <c r="D1" s="242"/>
      <c r="E1" s="242"/>
      <c r="F1" s="242"/>
      <c r="G1" s="242"/>
      <c r="H1" s="242"/>
    </row>
    <row r="2" spans="1:10" ht="30" customHeight="1">
      <c r="A2" s="242" t="s">
        <v>18</v>
      </c>
      <c r="B2" s="242"/>
      <c r="C2" s="242"/>
      <c r="D2" s="242"/>
      <c r="E2" s="242"/>
      <c r="F2" s="242"/>
      <c r="G2" s="242"/>
      <c r="H2" s="242"/>
    </row>
    <row r="3" spans="1:10" ht="23.25" customHeight="1">
      <c r="B3" s="243"/>
      <c r="C3" s="196"/>
      <c r="D3" s="243"/>
      <c r="E3" s="243"/>
      <c r="F3" s="243"/>
      <c r="G3" s="243"/>
      <c r="H3" s="244" t="s">
        <v>57</v>
      </c>
    </row>
    <row r="4" spans="1:10" ht="75.75" customHeight="1">
      <c r="A4" s="245" t="s">
        <v>23</v>
      </c>
      <c r="B4" s="224" t="s">
        <v>5</v>
      </c>
      <c r="C4" s="224" t="s">
        <v>122</v>
      </c>
      <c r="D4" s="224"/>
      <c r="E4" s="245" t="s">
        <v>499</v>
      </c>
      <c r="F4" s="245"/>
      <c r="G4" s="245"/>
      <c r="H4" s="245"/>
    </row>
    <row r="5" spans="1:10" ht="47.25" customHeight="1">
      <c r="A5" s="245"/>
      <c r="B5" s="224"/>
      <c r="C5" s="200" t="s">
        <v>593</v>
      </c>
      <c r="D5" s="200" t="s">
        <v>592</v>
      </c>
      <c r="E5" s="246" t="s">
        <v>108</v>
      </c>
      <c r="F5" s="246" t="s">
        <v>109</v>
      </c>
      <c r="G5" s="246" t="s">
        <v>110</v>
      </c>
      <c r="H5" s="246" t="s">
        <v>111</v>
      </c>
    </row>
    <row r="6" spans="1:10" ht="29.25" customHeight="1">
      <c r="A6" s="132">
        <v>1</v>
      </c>
      <c r="B6" s="200">
        <v>2</v>
      </c>
      <c r="C6" s="200">
        <v>3</v>
      </c>
      <c r="D6" s="200">
        <v>5</v>
      </c>
      <c r="E6" s="200">
        <v>7</v>
      </c>
      <c r="F6" s="200">
        <v>8</v>
      </c>
      <c r="G6" s="200">
        <v>9</v>
      </c>
      <c r="H6" s="200">
        <v>10</v>
      </c>
    </row>
    <row r="7" spans="1:10" ht="33" customHeight="1">
      <c r="A7" s="247" t="s">
        <v>99</v>
      </c>
      <c r="B7" s="247"/>
      <c r="C7" s="247"/>
      <c r="D7" s="247"/>
      <c r="E7" s="247"/>
      <c r="F7" s="247"/>
      <c r="G7" s="247"/>
      <c r="H7" s="247"/>
    </row>
    <row r="8" spans="1:10" ht="48.75" customHeight="1">
      <c r="A8" s="248" t="s">
        <v>123</v>
      </c>
      <c r="B8" s="249">
        <v>1000</v>
      </c>
      <c r="C8" s="111">
        <f>'Розшифровка 1 до Формування'!D7</f>
        <v>86185.3</v>
      </c>
      <c r="D8" s="111">
        <f>'Розшифровка 1 до Формування'!F7</f>
        <v>123660.1</v>
      </c>
      <c r="E8" s="111">
        <f>'Розшифровка 1 до Формування'!E7</f>
        <v>125264.7</v>
      </c>
      <c r="F8" s="111">
        <f>D8</f>
        <v>123660.1</v>
      </c>
      <c r="G8" s="111">
        <f>F8-E8</f>
        <v>-1604.5999999999913</v>
      </c>
      <c r="H8" s="111">
        <f>(F8/E8)*100</f>
        <v>98.71903257661576</v>
      </c>
      <c r="J8" s="250"/>
    </row>
    <row r="9" spans="1:10" ht="47.25" customHeight="1">
      <c r="A9" s="248" t="s">
        <v>67</v>
      </c>
      <c r="B9" s="249">
        <v>1010</v>
      </c>
      <c r="C9" s="111">
        <f>SUM(C10:C14)</f>
        <v>-100085.9</v>
      </c>
      <c r="D9" s="111">
        <f>SUM(D10:D14)</f>
        <v>-134401.70000000001</v>
      </c>
      <c r="E9" s="111">
        <f>SUM(E10:E14)</f>
        <v>-142602.9</v>
      </c>
      <c r="F9" s="111">
        <f t="shared" ref="F9:F43" si="0">D9</f>
        <v>-134401.70000000001</v>
      </c>
      <c r="G9" s="111">
        <f t="shared" ref="G9:G43" si="1">F9-E9</f>
        <v>8201.1999999999825</v>
      </c>
      <c r="H9" s="111">
        <f t="shared" ref="H9:H43" si="2">(F9/E9)*100</f>
        <v>94.248924811487015</v>
      </c>
      <c r="J9" s="250"/>
    </row>
    <row r="10" spans="1:10" ht="30" customHeight="1">
      <c r="A10" s="251" t="s">
        <v>68</v>
      </c>
      <c r="B10" s="132">
        <v>1011</v>
      </c>
      <c r="C10" s="252">
        <f>-'Розшифровка 2 до формування'!D10-'Розшифровка 2 до формування'!D72-'Розшифровка 2 до формування'!D134-'Розшифровка 2 до формування'!D146-'Розшифровка 2 до формування'!D187-'Розшифровка 2 до формування'!D201-'Розшифровка 2 до формування'!D221-'Розшифровка 2 до формування'!D252-'Розшифровка 2 до формування'!D294-'Розшифровка 2 до формування'!D323-'Розшифровка 2 до формування'!D328</f>
        <v>-15711.699999999999</v>
      </c>
      <c r="D10" s="252">
        <v>-29750.6</v>
      </c>
      <c r="E10" s="252">
        <v>-17373</v>
      </c>
      <c r="F10" s="111">
        <f t="shared" si="0"/>
        <v>-29750.6</v>
      </c>
      <c r="G10" s="252">
        <f t="shared" si="1"/>
        <v>-12377.599999999999</v>
      </c>
      <c r="H10" s="252">
        <f t="shared" si="2"/>
        <v>171.24618661140849</v>
      </c>
      <c r="J10" s="250"/>
    </row>
    <row r="11" spans="1:10" ht="28.5" customHeight="1">
      <c r="A11" s="251" t="s">
        <v>2</v>
      </c>
      <c r="B11" s="132">
        <v>1012</v>
      </c>
      <c r="C11" s="252">
        <f>-'Розшифровка 2 до формування'!D17-'Розшифровка 2 до формування'!D62-'Розшифровка 2 до формування'!D79-'Розшифровка 2 до формування'!D152-'Розшифровка 2 до формування'!D191-'Розшифровка 2 до формування'!D375</f>
        <v>-59858.3</v>
      </c>
      <c r="D11" s="252">
        <v>-69877.600000000006</v>
      </c>
      <c r="E11" s="252">
        <v>-89005.2</v>
      </c>
      <c r="F11" s="111">
        <f t="shared" si="0"/>
        <v>-69877.600000000006</v>
      </c>
      <c r="G11" s="252">
        <f t="shared" si="1"/>
        <v>19127.599999999991</v>
      </c>
      <c r="H11" s="252">
        <f t="shared" si="2"/>
        <v>78.509570227357514</v>
      </c>
      <c r="J11" s="250"/>
    </row>
    <row r="12" spans="1:10" ht="29.25" customHeight="1">
      <c r="A12" s="251" t="s">
        <v>3</v>
      </c>
      <c r="B12" s="132">
        <v>1013</v>
      </c>
      <c r="C12" s="252">
        <f>-'Розшифровка 2 до формування'!D18-'Розшифровка 2 до формування'!D63-'Розшифровка 2 до формування'!D80-'Розшифровка 2 до формування'!D153-'Розшифровка 2 до формування'!D192-'Розшифровка 2 до формування'!D376</f>
        <v>-12631.7</v>
      </c>
      <c r="D12" s="252">
        <v>-14810.6</v>
      </c>
      <c r="E12" s="252">
        <v>-21782.799999999999</v>
      </c>
      <c r="F12" s="111">
        <f t="shared" si="0"/>
        <v>-14810.6</v>
      </c>
      <c r="G12" s="252">
        <f t="shared" si="1"/>
        <v>6972.1999999999989</v>
      </c>
      <c r="H12" s="252">
        <f t="shared" si="2"/>
        <v>67.992177314211219</v>
      </c>
      <c r="J12" s="250"/>
    </row>
    <row r="13" spans="1:10" ht="29.25" customHeight="1">
      <c r="A13" s="251" t="s">
        <v>4</v>
      </c>
      <c r="B13" s="132">
        <v>1014</v>
      </c>
      <c r="C13" s="252">
        <f>-'Розшифровка 2 до формування'!D19-'Розшифровка 2 до формування'!D81-'Розшифровка 2 до формування'!D154-'Розшифровка 2 до формування'!D334-'Розшифровка 2 до формування'!D380</f>
        <v>-2466.8000000000002</v>
      </c>
      <c r="D13" s="252">
        <f>-'Розшифровка 2 до формування'!F19-'Розшифровка 2 до формування'!F81-'Розшифровка 2 до формування'!F334-'Розшифровка 2 до формування'!F380</f>
        <v>-6378.7</v>
      </c>
      <c r="E13" s="252">
        <v>-1800</v>
      </c>
      <c r="F13" s="111">
        <f t="shared" si="0"/>
        <v>-6378.7</v>
      </c>
      <c r="G13" s="253">
        <f t="shared" si="1"/>
        <v>-4578.7</v>
      </c>
      <c r="H13" s="253">
        <f t="shared" si="2"/>
        <v>354.37222222222221</v>
      </c>
      <c r="J13" s="250"/>
    </row>
    <row r="14" spans="1:10" ht="30" customHeight="1">
      <c r="A14" s="251" t="s">
        <v>50</v>
      </c>
      <c r="B14" s="132">
        <v>1015</v>
      </c>
      <c r="C14" s="252">
        <f>-'Розшифровка 2 до формування'!D20-'Розшифровка 2 до формування'!D82-'Розшифровка 2 до формування'!D140-'Розшифровка 2 до формування'!D155-'Розшифровка 2 до формування'!D193-'Розшифровка 2 до формування'!D204-'Розшифровка 2 до формування'!D231-'Розшифровка 2 до формування'!D275-'Розшифровка 2 до формування'!D286-'Розшифровка 2 до формування'!D300-'Розшифровка 2 до формування'!D335</f>
        <v>-9417.4</v>
      </c>
      <c r="D14" s="252">
        <v>-13584.2</v>
      </c>
      <c r="E14" s="252">
        <v>-12641.9</v>
      </c>
      <c r="F14" s="111">
        <f t="shared" si="0"/>
        <v>-13584.2</v>
      </c>
      <c r="G14" s="252">
        <f t="shared" si="1"/>
        <v>-942.30000000000109</v>
      </c>
      <c r="H14" s="252">
        <f t="shared" si="2"/>
        <v>107.45378463680302</v>
      </c>
      <c r="J14" s="250"/>
    </row>
    <row r="15" spans="1:10" ht="28.5" customHeight="1">
      <c r="A15" s="248" t="s">
        <v>25</v>
      </c>
      <c r="B15" s="132">
        <v>1020</v>
      </c>
      <c r="C15" s="111">
        <f>SUM(C8:C9)</f>
        <v>-13900.599999999991</v>
      </c>
      <c r="D15" s="111">
        <f>SUM(D8:D9)</f>
        <v>-10741.600000000006</v>
      </c>
      <c r="E15" s="111">
        <f>SUM(E8:E9)</f>
        <v>-17338.199999999997</v>
      </c>
      <c r="F15" s="111">
        <f t="shared" si="0"/>
        <v>-10741.600000000006</v>
      </c>
      <c r="G15" s="111">
        <f t="shared" si="1"/>
        <v>6596.5999999999913</v>
      </c>
      <c r="H15" s="111">
        <f t="shared" si="2"/>
        <v>61.953374629431011</v>
      </c>
    </row>
    <row r="16" spans="1:10" ht="42" customHeight="1">
      <c r="A16" s="248" t="s">
        <v>89</v>
      </c>
      <c r="B16" s="249">
        <v>1020</v>
      </c>
      <c r="C16" s="111">
        <f>SUM(C17:C21)</f>
        <v>-7448</v>
      </c>
      <c r="D16" s="111">
        <f>SUM(D17:D21)</f>
        <v>-7994.9999999999982</v>
      </c>
      <c r="E16" s="111">
        <f>SUM(E17:E21)</f>
        <v>-4559.8</v>
      </c>
      <c r="F16" s="111">
        <f t="shared" si="0"/>
        <v>-7994.9999999999982</v>
      </c>
      <c r="G16" s="111">
        <f t="shared" si="1"/>
        <v>-3435.199999999998</v>
      </c>
      <c r="H16" s="111">
        <f t="shared" si="2"/>
        <v>175.33663757182327</v>
      </c>
    </row>
    <row r="17" spans="1:8" ht="27.75" customHeight="1">
      <c r="A17" s="251" t="s">
        <v>68</v>
      </c>
      <c r="B17" s="132">
        <v>1021</v>
      </c>
      <c r="C17" s="252">
        <f>-'Розшифровка 2 до формування'!D41-'Розшифровка 2 до формування'!D109-'Розшифровка 2 до формування'!D173-'Розшифровка 2 до формування'!D239-'Розшифровка 2 до формування'!D313-'Розшифровка 2 до формування'!D352</f>
        <v>-35.700000000000003</v>
      </c>
      <c r="D17" s="252">
        <v>-113.4</v>
      </c>
      <c r="E17" s="252">
        <v>-70</v>
      </c>
      <c r="F17" s="111">
        <f t="shared" si="0"/>
        <v>-113.4</v>
      </c>
      <c r="G17" s="252">
        <f t="shared" si="1"/>
        <v>-43.400000000000006</v>
      </c>
      <c r="H17" s="252">
        <f t="shared" si="2"/>
        <v>162</v>
      </c>
    </row>
    <row r="18" spans="1:8" ht="27.75" customHeight="1">
      <c r="A18" s="251" t="s">
        <v>2</v>
      </c>
      <c r="B18" s="132">
        <v>1022</v>
      </c>
      <c r="C18" s="252">
        <f>-'Розшифровка 2 до формування'!D45</f>
        <v>-4420.7</v>
      </c>
      <c r="D18" s="252">
        <v>-5198.8999999999996</v>
      </c>
      <c r="E18" s="252">
        <v>-1978.4</v>
      </c>
      <c r="F18" s="111">
        <f t="shared" si="0"/>
        <v>-5198.8999999999996</v>
      </c>
      <c r="G18" s="252">
        <f t="shared" si="1"/>
        <v>-3220.4999999999995</v>
      </c>
      <c r="H18" s="252">
        <f t="shared" si="2"/>
        <v>262.78305701577028</v>
      </c>
    </row>
    <row r="19" spans="1:8" ht="27.75" customHeight="1">
      <c r="A19" s="251" t="s">
        <v>3</v>
      </c>
      <c r="B19" s="132">
        <v>1023</v>
      </c>
      <c r="C19" s="252">
        <f>-'Розшифровка 2 до формування'!D46</f>
        <v>-906.5</v>
      </c>
      <c r="D19" s="252">
        <v>-1071.9000000000001</v>
      </c>
      <c r="E19" s="252">
        <v>-435.2</v>
      </c>
      <c r="F19" s="111">
        <f t="shared" si="0"/>
        <v>-1071.9000000000001</v>
      </c>
      <c r="G19" s="252">
        <f t="shared" si="1"/>
        <v>-636.70000000000005</v>
      </c>
      <c r="H19" s="252">
        <f t="shared" si="2"/>
        <v>246.30055147058826</v>
      </c>
    </row>
    <row r="20" spans="1:8" ht="27.75" customHeight="1">
      <c r="A20" s="251" t="s">
        <v>4</v>
      </c>
      <c r="B20" s="132">
        <v>1024</v>
      </c>
      <c r="C20" s="252">
        <f>-'Розшифровка 2 до формування'!D383</f>
        <v>-1297.7</v>
      </c>
      <c r="D20" s="252">
        <v>-475.4</v>
      </c>
      <c r="E20" s="252">
        <v>-1060</v>
      </c>
      <c r="F20" s="111">
        <f t="shared" si="0"/>
        <v>-475.4</v>
      </c>
      <c r="G20" s="253">
        <f t="shared" si="1"/>
        <v>584.6</v>
      </c>
      <c r="H20" s="253">
        <f t="shared" si="2"/>
        <v>44.849056603773583</v>
      </c>
    </row>
    <row r="21" spans="1:8" ht="27.75" customHeight="1">
      <c r="A21" s="251" t="s">
        <v>69</v>
      </c>
      <c r="B21" s="132">
        <v>1025</v>
      </c>
      <c r="C21" s="252">
        <f>-'Розшифровка 2 до формування'!D47-'Розшифровка 2 до формування'!D113-'Розшифровка 2 до формування'!D176-'Розшифровка 2 до формування'!D209-'Розшифровка 2 до формування'!D241-'Розшифровка 2 до формування'!D280-'Розшифровка 2 до формування'!D316-'Розшифровка 2 до формування'!D355</f>
        <v>-787.40000000000009</v>
      </c>
      <c r="D21" s="252">
        <v>-1135.4000000000001</v>
      </c>
      <c r="E21" s="252">
        <v>-1016.2</v>
      </c>
      <c r="F21" s="111">
        <f t="shared" si="0"/>
        <v>-1135.4000000000001</v>
      </c>
      <c r="G21" s="252">
        <f t="shared" si="1"/>
        <v>-119.20000000000005</v>
      </c>
      <c r="H21" s="252">
        <f t="shared" si="2"/>
        <v>111.72997441448533</v>
      </c>
    </row>
    <row r="22" spans="1:8" ht="38.25" customHeight="1">
      <c r="A22" s="248" t="s">
        <v>35</v>
      </c>
      <c r="B22" s="249">
        <v>1040</v>
      </c>
      <c r="C22" s="111">
        <f>SUM(C23:C24)</f>
        <v>18339.5</v>
      </c>
      <c r="D22" s="111">
        <f>SUM(D23:D24)</f>
        <v>29464.400000000001</v>
      </c>
      <c r="E22" s="111">
        <f>SUM(E23:E24)</f>
        <v>20902</v>
      </c>
      <c r="F22" s="111">
        <f t="shared" si="0"/>
        <v>29464.400000000001</v>
      </c>
      <c r="G22" s="111">
        <f t="shared" si="1"/>
        <v>8562.4000000000015</v>
      </c>
      <c r="H22" s="111">
        <f t="shared" si="2"/>
        <v>140.96450100468857</v>
      </c>
    </row>
    <row r="23" spans="1:8" ht="30.75" customHeight="1">
      <c r="A23" s="251" t="s">
        <v>36</v>
      </c>
      <c r="B23" s="132">
        <v>1041</v>
      </c>
      <c r="C23" s="252"/>
      <c r="D23" s="252"/>
      <c r="E23" s="252"/>
      <c r="F23" s="111">
        <f t="shared" si="0"/>
        <v>0</v>
      </c>
      <c r="G23" s="252">
        <f t="shared" si="1"/>
        <v>0</v>
      </c>
      <c r="H23" s="252" t="e">
        <f t="shared" si="2"/>
        <v>#DIV/0!</v>
      </c>
    </row>
    <row r="24" spans="1:8" ht="27.75" customHeight="1">
      <c r="A24" s="251" t="s">
        <v>37</v>
      </c>
      <c r="B24" s="132">
        <v>1042</v>
      </c>
      <c r="C24" s="252">
        <f>'Розшифровка 1 до Формування'!D13</f>
        <v>18339.5</v>
      </c>
      <c r="D24" s="252">
        <f>'Розшифровка 1 до Формування'!F13</f>
        <v>29464.400000000001</v>
      </c>
      <c r="E24" s="252">
        <f>'Розшифровка 1 до Формування'!E13</f>
        <v>20902</v>
      </c>
      <c r="F24" s="111">
        <f t="shared" si="0"/>
        <v>29464.400000000001</v>
      </c>
      <c r="G24" s="252">
        <f t="shared" si="1"/>
        <v>8562.4000000000015</v>
      </c>
      <c r="H24" s="252">
        <f t="shared" si="2"/>
        <v>140.96450100468857</v>
      </c>
    </row>
    <row r="25" spans="1:8" ht="42.75" customHeight="1">
      <c r="A25" s="248" t="s">
        <v>12</v>
      </c>
      <c r="B25" s="249">
        <v>1030</v>
      </c>
      <c r="C25" s="111">
        <f>SUM(C26:C30)</f>
        <v>-974.2</v>
      </c>
      <c r="D25" s="111">
        <f>SUM(D26:D30)</f>
        <v>-1905.5</v>
      </c>
      <c r="E25" s="111">
        <f>SUM(E26:E30)</f>
        <v>-2057.2000000000003</v>
      </c>
      <c r="F25" s="111">
        <f t="shared" si="0"/>
        <v>-1905.5</v>
      </c>
      <c r="G25" s="111">
        <f t="shared" si="1"/>
        <v>151.70000000000027</v>
      </c>
      <c r="H25" s="111">
        <f t="shared" si="2"/>
        <v>92.625899280575524</v>
      </c>
    </row>
    <row r="26" spans="1:8" ht="27.75" customHeight="1">
      <c r="A26" s="251" t="s">
        <v>68</v>
      </c>
      <c r="B26" s="132">
        <v>1031</v>
      </c>
      <c r="C26" s="252">
        <f>-'Розшифровка 2 до формування'!D247</f>
        <v>0</v>
      </c>
      <c r="D26" s="252">
        <v>0</v>
      </c>
      <c r="E26" s="252">
        <v>-63.3</v>
      </c>
      <c r="F26" s="111">
        <f t="shared" si="0"/>
        <v>0</v>
      </c>
      <c r="G26" s="253">
        <f t="shared" si="1"/>
        <v>63.3</v>
      </c>
      <c r="H26" s="253">
        <f t="shared" si="2"/>
        <v>0</v>
      </c>
    </row>
    <row r="27" spans="1:8" ht="27.75" customHeight="1">
      <c r="A27" s="251" t="s">
        <v>2</v>
      </c>
      <c r="B27" s="132">
        <v>1032</v>
      </c>
      <c r="C27" s="252">
        <f>-'Розшифровка 2 до формування'!D55-'Розшифровка 2 до формування'!D67</f>
        <v>-659.4</v>
      </c>
      <c r="D27" s="252">
        <v>-1306.4000000000001</v>
      </c>
      <c r="E27" s="252">
        <v>-1447.2</v>
      </c>
      <c r="F27" s="111">
        <f t="shared" si="0"/>
        <v>-1306.4000000000001</v>
      </c>
      <c r="G27" s="253">
        <f t="shared" si="1"/>
        <v>140.79999999999995</v>
      </c>
      <c r="H27" s="253">
        <f t="shared" si="2"/>
        <v>90.270867882808176</v>
      </c>
    </row>
    <row r="28" spans="1:8" ht="27.75" customHeight="1">
      <c r="A28" s="251" t="s">
        <v>3</v>
      </c>
      <c r="B28" s="132">
        <v>1033</v>
      </c>
      <c r="C28" s="252">
        <f>-'Розшифровка 2 до формування'!D56-'Розшифровка 2 до формування'!D68</f>
        <v>-182</v>
      </c>
      <c r="D28" s="252">
        <v>-336.1</v>
      </c>
      <c r="E28" s="252">
        <v>-318.39999999999998</v>
      </c>
      <c r="F28" s="111">
        <f t="shared" si="0"/>
        <v>-336.1</v>
      </c>
      <c r="G28" s="253">
        <f t="shared" si="1"/>
        <v>-17.700000000000045</v>
      </c>
      <c r="H28" s="253">
        <f t="shared" si="2"/>
        <v>105.55904522613066</v>
      </c>
    </row>
    <row r="29" spans="1:8" ht="27.75" customHeight="1">
      <c r="A29" s="251" t="s">
        <v>4</v>
      </c>
      <c r="B29" s="132">
        <v>1034</v>
      </c>
      <c r="C29" s="252"/>
      <c r="D29" s="252"/>
      <c r="E29" s="252"/>
      <c r="F29" s="111">
        <f t="shared" si="0"/>
        <v>0</v>
      </c>
      <c r="G29" s="253">
        <f t="shared" si="1"/>
        <v>0</v>
      </c>
      <c r="H29" s="253" t="e">
        <f t="shared" si="2"/>
        <v>#DIV/0!</v>
      </c>
    </row>
    <row r="30" spans="1:8" ht="27.75" customHeight="1">
      <c r="A30" s="251" t="s">
        <v>70</v>
      </c>
      <c r="B30" s="132">
        <v>1035</v>
      </c>
      <c r="C30" s="252">
        <f>-'Розшифровка 2 до формування'!D57-'Розшифровка 2 до формування'!D126-'Розшифровка 2 до формування'!D182-'Розшифровка 2 до формування'!D216-'Розшифровка 2 до формування'!D261-'Розшифровка 2 до формування'!D268-'Розшифровка 2 до формування'!D289-'Розшифровка 2 до формування'!D369</f>
        <v>-132.80000000000001</v>
      </c>
      <c r="D30" s="252">
        <v>-263</v>
      </c>
      <c r="E30" s="252">
        <v>-228.3</v>
      </c>
      <c r="F30" s="111">
        <f t="shared" si="0"/>
        <v>-263</v>
      </c>
      <c r="G30" s="252">
        <f t="shared" si="1"/>
        <v>-34.699999999999989</v>
      </c>
      <c r="H30" s="252">
        <f t="shared" si="2"/>
        <v>115.19929916776171</v>
      </c>
    </row>
    <row r="31" spans="1:8" ht="47.25" customHeight="1">
      <c r="A31" s="248" t="s">
        <v>1</v>
      </c>
      <c r="B31" s="132">
        <v>1100</v>
      </c>
      <c r="C31" s="111">
        <f>SUM(C15,C16,C22,C25)</f>
        <v>-3983.2999999999911</v>
      </c>
      <c r="D31" s="111">
        <f>SUM(D15,D16,D22,D25)</f>
        <v>8822.2999999999956</v>
      </c>
      <c r="E31" s="111">
        <f>SUM(E15,E16,E22,E25)</f>
        <v>-3053.1999999999966</v>
      </c>
      <c r="F31" s="111">
        <f t="shared" si="0"/>
        <v>8822.2999999999956</v>
      </c>
      <c r="G31" s="111">
        <f t="shared" si="1"/>
        <v>11875.499999999993</v>
      </c>
      <c r="H31" s="111">
        <f t="shared" si="2"/>
        <v>-288.95257434822497</v>
      </c>
    </row>
    <row r="32" spans="1:8" ht="27.75" customHeight="1">
      <c r="A32" s="248" t="s">
        <v>124</v>
      </c>
      <c r="B32" s="249">
        <v>1130</v>
      </c>
      <c r="C32" s="111">
        <f>'Розшифровка 1 до Формування'!D23</f>
        <v>49</v>
      </c>
      <c r="D32" s="111">
        <f>'Розшифровка 1 до Формування'!F23</f>
        <v>281.39999999999998</v>
      </c>
      <c r="E32" s="111">
        <f>'Розшифровка 1 до Формування'!E23</f>
        <v>50</v>
      </c>
      <c r="F32" s="111">
        <f t="shared" si="0"/>
        <v>281.39999999999998</v>
      </c>
      <c r="G32" s="111">
        <f t="shared" si="1"/>
        <v>231.39999999999998</v>
      </c>
      <c r="H32" s="111">
        <f t="shared" si="2"/>
        <v>562.79999999999995</v>
      </c>
    </row>
    <row r="33" spans="1:11" ht="27.75" customHeight="1">
      <c r="A33" s="254" t="s">
        <v>125</v>
      </c>
      <c r="B33" s="249">
        <v>1140</v>
      </c>
      <c r="C33" s="111" t="s">
        <v>26</v>
      </c>
      <c r="D33" s="111" t="s">
        <v>26</v>
      </c>
      <c r="E33" s="252" t="s">
        <v>26</v>
      </c>
      <c r="F33" s="111" t="str">
        <f t="shared" si="0"/>
        <v>(    )</v>
      </c>
      <c r="G33" s="255" t="e">
        <f t="shared" si="1"/>
        <v>#VALUE!</v>
      </c>
      <c r="H33" s="255" t="e">
        <f t="shared" si="2"/>
        <v>#VALUE!</v>
      </c>
    </row>
    <row r="34" spans="1:11" ht="27.75" customHeight="1">
      <c r="A34" s="248" t="s">
        <v>126</v>
      </c>
      <c r="B34" s="249">
        <v>1150</v>
      </c>
      <c r="C34" s="111">
        <f>'Розшифровка 1 до Формування'!D25</f>
        <v>3533.4</v>
      </c>
      <c r="D34" s="111">
        <f>'Розшифровка 1 до Формування'!F25</f>
        <v>6179.8</v>
      </c>
      <c r="E34" s="111">
        <f>'Розшифровка 1 до Формування'!E25</f>
        <v>3003.2</v>
      </c>
      <c r="F34" s="111">
        <f t="shared" si="0"/>
        <v>6179.8</v>
      </c>
      <c r="G34" s="111">
        <f t="shared" si="1"/>
        <v>3176.6000000000004</v>
      </c>
      <c r="H34" s="111">
        <f t="shared" si="2"/>
        <v>205.77384123601493</v>
      </c>
    </row>
    <row r="35" spans="1:11" ht="27.75" customHeight="1">
      <c r="A35" s="248" t="s">
        <v>127</v>
      </c>
      <c r="B35" s="249">
        <v>1160</v>
      </c>
      <c r="C35" s="111" t="s">
        <v>26</v>
      </c>
      <c r="D35" s="111" t="s">
        <v>26</v>
      </c>
      <c r="E35" s="252" t="s">
        <v>26</v>
      </c>
      <c r="F35" s="111" t="str">
        <f t="shared" si="0"/>
        <v>(    )</v>
      </c>
      <c r="G35" s="255" t="e">
        <f t="shared" si="1"/>
        <v>#VALUE!</v>
      </c>
      <c r="H35" s="255" t="e">
        <f t="shared" si="2"/>
        <v>#VALUE!</v>
      </c>
    </row>
    <row r="36" spans="1:11" ht="28.5" customHeight="1">
      <c r="A36" s="248" t="s">
        <v>15</v>
      </c>
      <c r="B36" s="249">
        <v>1170</v>
      </c>
      <c r="C36" s="111">
        <f>SUM(C31, C32:C35)</f>
        <v>-400.899999999991</v>
      </c>
      <c r="D36" s="111">
        <f>SUM(D31, D32:D35)</f>
        <v>15283.499999999996</v>
      </c>
      <c r="E36" s="111">
        <f>SUM(E31, E32:E35)</f>
        <v>0</v>
      </c>
      <c r="F36" s="111">
        <f t="shared" si="0"/>
        <v>15283.499999999996</v>
      </c>
      <c r="G36" s="111">
        <f t="shared" si="1"/>
        <v>15283.499999999996</v>
      </c>
      <c r="H36" s="255" t="e">
        <f t="shared" si="2"/>
        <v>#DIV/0!</v>
      </c>
    </row>
    <row r="37" spans="1:11" ht="27.75" customHeight="1">
      <c r="A37" s="254" t="s">
        <v>28</v>
      </c>
      <c r="B37" s="132">
        <v>1180</v>
      </c>
      <c r="C37" s="252" t="s">
        <v>26</v>
      </c>
      <c r="D37" s="252" t="s">
        <v>26</v>
      </c>
      <c r="E37" s="252" t="s">
        <v>26</v>
      </c>
      <c r="F37" s="111" t="str">
        <f t="shared" si="0"/>
        <v>(    )</v>
      </c>
      <c r="G37" s="253" t="e">
        <f t="shared" si="1"/>
        <v>#VALUE!</v>
      </c>
      <c r="H37" s="253" t="e">
        <f t="shared" si="2"/>
        <v>#VALUE!</v>
      </c>
    </row>
    <row r="38" spans="1:11" ht="27" customHeight="1">
      <c r="A38" s="254" t="s">
        <v>29</v>
      </c>
      <c r="B38" s="132">
        <v>1181</v>
      </c>
      <c r="C38" s="252"/>
      <c r="D38" s="252"/>
      <c r="E38" s="252"/>
      <c r="F38" s="111">
        <f>D38</f>
        <v>0</v>
      </c>
      <c r="G38" s="255">
        <f t="shared" si="1"/>
        <v>0</v>
      </c>
      <c r="H38" s="253" t="e">
        <f t="shared" si="2"/>
        <v>#DIV/0!</v>
      </c>
    </row>
    <row r="39" spans="1:11" ht="28.5" customHeight="1">
      <c r="A39" s="248" t="s">
        <v>46</v>
      </c>
      <c r="B39" s="132">
        <v>1200</v>
      </c>
      <c r="C39" s="111">
        <f>SUM(C36:C38)</f>
        <v>-400.899999999991</v>
      </c>
      <c r="D39" s="111">
        <f>SUM(D36:D38)</f>
        <v>15283.499999999996</v>
      </c>
      <c r="E39" s="111">
        <f>SUM(E36:E38)</f>
        <v>0</v>
      </c>
      <c r="F39" s="111">
        <f t="shared" si="0"/>
        <v>15283.499999999996</v>
      </c>
      <c r="G39" s="111">
        <f t="shared" si="1"/>
        <v>15283.499999999996</v>
      </c>
      <c r="H39" s="255" t="e">
        <f t="shared" si="2"/>
        <v>#DIV/0!</v>
      </c>
    </row>
    <row r="40" spans="1:11" ht="35.25" customHeight="1">
      <c r="A40" s="254" t="s">
        <v>47</v>
      </c>
      <c r="B40" s="132">
        <v>1201</v>
      </c>
      <c r="C40" s="252"/>
      <c r="D40" s="252"/>
      <c r="E40" s="252"/>
      <c r="F40" s="111">
        <f t="shared" si="0"/>
        <v>0</v>
      </c>
      <c r="G40" s="253">
        <f t="shared" si="1"/>
        <v>0</v>
      </c>
      <c r="H40" s="253" t="e">
        <f t="shared" si="2"/>
        <v>#DIV/0!</v>
      </c>
    </row>
    <row r="41" spans="1:11" ht="33" customHeight="1">
      <c r="A41" s="254" t="s">
        <v>48</v>
      </c>
      <c r="B41" s="132">
        <v>1202</v>
      </c>
      <c r="C41" s="252">
        <v>-3773.7</v>
      </c>
      <c r="D41" s="252" t="s">
        <v>26</v>
      </c>
      <c r="E41" s="252" t="s">
        <v>26</v>
      </c>
      <c r="F41" s="111" t="str">
        <f>D41</f>
        <v>(    )</v>
      </c>
      <c r="G41" s="253" t="e">
        <f t="shared" si="1"/>
        <v>#VALUE!</v>
      </c>
      <c r="H41" s="253" t="e">
        <f t="shared" si="2"/>
        <v>#VALUE!</v>
      </c>
      <c r="J41" s="256"/>
    </row>
    <row r="42" spans="1:11" ht="33" customHeight="1">
      <c r="A42" s="248" t="s">
        <v>117</v>
      </c>
      <c r="B42" s="249">
        <v>1210</v>
      </c>
      <c r="C42" s="111">
        <f>SUM(C8,C22,C32,C34,C38)</f>
        <v>108107.2</v>
      </c>
      <c r="D42" s="111">
        <f>SUM(D8,D22,D32,D34,D38)</f>
        <v>159585.69999999998</v>
      </c>
      <c r="E42" s="111">
        <f>SUM(E8,E22,E32,E34,E38)</f>
        <v>149219.90000000002</v>
      </c>
      <c r="F42" s="111">
        <f t="shared" si="0"/>
        <v>159585.69999999998</v>
      </c>
      <c r="G42" s="111">
        <f t="shared" si="1"/>
        <v>10365.799999999959</v>
      </c>
      <c r="H42" s="111">
        <f t="shared" si="2"/>
        <v>106.94666059955806</v>
      </c>
      <c r="I42" s="256"/>
      <c r="J42" s="256"/>
      <c r="K42" s="256"/>
    </row>
    <row r="43" spans="1:11" ht="33" customHeight="1">
      <c r="A43" s="248" t="s">
        <v>118</v>
      </c>
      <c r="B43" s="249">
        <v>1220</v>
      </c>
      <c r="C43" s="111">
        <f>SUM(C9,C16,C25,C33,C35,C37)</f>
        <v>-108508.09999999999</v>
      </c>
      <c r="D43" s="111">
        <f>SUM(D9,D16,D25,D33,D35,D37)</f>
        <v>-144302.20000000001</v>
      </c>
      <c r="E43" s="111">
        <f>SUM(E9,E16,E25,E33,E35,E37)</f>
        <v>-149219.9</v>
      </c>
      <c r="F43" s="111">
        <f t="shared" si="0"/>
        <v>-144302.20000000001</v>
      </c>
      <c r="G43" s="111">
        <f t="shared" si="1"/>
        <v>4917.6999999999825</v>
      </c>
      <c r="H43" s="111">
        <f t="shared" si="2"/>
        <v>96.704393984984591</v>
      </c>
      <c r="I43" s="256"/>
    </row>
    <row r="44" spans="1:11" ht="33" customHeight="1">
      <c r="A44" s="257" t="s">
        <v>132</v>
      </c>
      <c r="B44" s="257"/>
      <c r="C44" s="257"/>
      <c r="D44" s="257"/>
      <c r="E44" s="257"/>
      <c r="F44" s="257"/>
      <c r="G44" s="257"/>
      <c r="H44" s="257"/>
      <c r="J44" s="256"/>
      <c r="K44" s="256"/>
    </row>
    <row r="45" spans="1:11" ht="33" customHeight="1">
      <c r="A45" s="251" t="s">
        <v>56</v>
      </c>
      <c r="B45" s="200">
        <v>9000</v>
      </c>
      <c r="C45" s="252">
        <f t="shared" ref="C45:E49" si="3">-C10-C17-C26</f>
        <v>15747.4</v>
      </c>
      <c r="D45" s="252">
        <f t="shared" si="3"/>
        <v>29864</v>
      </c>
      <c r="E45" s="252">
        <f t="shared" si="3"/>
        <v>17506.3</v>
      </c>
      <c r="F45" s="252">
        <f>D45</f>
        <v>29864</v>
      </c>
      <c r="G45" s="258">
        <f t="shared" ref="G45:G50" si="4">F45-E45</f>
        <v>12357.7</v>
      </c>
      <c r="H45" s="258">
        <f t="shared" ref="H45:H50" si="5">(F45/E45)*100</f>
        <v>170.59001616560897</v>
      </c>
    </row>
    <row r="46" spans="1:11" ht="33" customHeight="1">
      <c r="A46" s="251" t="s">
        <v>2</v>
      </c>
      <c r="B46" s="200">
        <v>9010</v>
      </c>
      <c r="C46" s="252">
        <f t="shared" si="3"/>
        <v>64938.400000000001</v>
      </c>
      <c r="D46" s="252">
        <f t="shared" si="3"/>
        <v>76382.899999999994</v>
      </c>
      <c r="E46" s="252">
        <f t="shared" si="3"/>
        <v>92430.799999999988</v>
      </c>
      <c r="F46" s="252">
        <f>D46</f>
        <v>76382.899999999994</v>
      </c>
      <c r="G46" s="258">
        <f t="shared" si="4"/>
        <v>-16047.899999999994</v>
      </c>
      <c r="H46" s="258">
        <f t="shared" si="5"/>
        <v>82.637930213738287</v>
      </c>
    </row>
    <row r="47" spans="1:11" ht="33" customHeight="1">
      <c r="A47" s="251" t="s">
        <v>3</v>
      </c>
      <c r="B47" s="200">
        <v>9020</v>
      </c>
      <c r="C47" s="252">
        <f t="shared" si="3"/>
        <v>13720.2</v>
      </c>
      <c r="D47" s="252">
        <f t="shared" si="3"/>
        <v>16218.6</v>
      </c>
      <c r="E47" s="252">
        <f t="shared" si="3"/>
        <v>22536.400000000001</v>
      </c>
      <c r="F47" s="252">
        <f>D47</f>
        <v>16218.6</v>
      </c>
      <c r="G47" s="258">
        <f t="shared" si="4"/>
        <v>-6317.8000000000011</v>
      </c>
      <c r="H47" s="258">
        <f t="shared" si="5"/>
        <v>71.966241280772437</v>
      </c>
    </row>
    <row r="48" spans="1:11" ht="33" customHeight="1">
      <c r="A48" s="251" t="s">
        <v>4</v>
      </c>
      <c r="B48" s="200">
        <v>9030</v>
      </c>
      <c r="C48" s="252">
        <f t="shared" si="3"/>
        <v>3764.5</v>
      </c>
      <c r="D48" s="252">
        <f t="shared" si="3"/>
        <v>6854.0999999999995</v>
      </c>
      <c r="E48" s="252">
        <f t="shared" si="3"/>
        <v>2860</v>
      </c>
      <c r="F48" s="252">
        <f>D48</f>
        <v>6854.0999999999995</v>
      </c>
      <c r="G48" s="258">
        <f t="shared" si="4"/>
        <v>3994.0999999999995</v>
      </c>
      <c r="H48" s="258">
        <f t="shared" si="5"/>
        <v>239.65384615384613</v>
      </c>
    </row>
    <row r="49" spans="1:8" ht="33" customHeight="1">
      <c r="A49" s="251" t="s">
        <v>6</v>
      </c>
      <c r="B49" s="200">
        <v>9040</v>
      </c>
      <c r="C49" s="252">
        <f t="shared" si="3"/>
        <v>10337.599999999999</v>
      </c>
      <c r="D49" s="252">
        <f t="shared" si="3"/>
        <v>14982.6</v>
      </c>
      <c r="E49" s="252">
        <f t="shared" si="3"/>
        <v>13886.4</v>
      </c>
      <c r="F49" s="252">
        <f>D49</f>
        <v>14982.6</v>
      </c>
      <c r="G49" s="258">
        <f t="shared" si="4"/>
        <v>1096.2000000000007</v>
      </c>
      <c r="H49" s="258">
        <f t="shared" si="5"/>
        <v>107.89405461458695</v>
      </c>
    </row>
    <row r="50" spans="1:8" ht="33" customHeight="1">
      <c r="A50" s="259" t="s">
        <v>9</v>
      </c>
      <c r="B50" s="107">
        <v>9050</v>
      </c>
      <c r="C50" s="111">
        <f>SUM(C45:C49)</f>
        <v>108508.1</v>
      </c>
      <c r="D50" s="111">
        <f>SUM(D45:D49)</f>
        <v>144302.20000000001</v>
      </c>
      <c r="E50" s="111">
        <f>SUM(E45:E49)</f>
        <v>149219.9</v>
      </c>
      <c r="F50" s="111">
        <f>SUM(F45:F49)</f>
        <v>144302.20000000001</v>
      </c>
      <c r="G50" s="260">
        <f t="shared" si="4"/>
        <v>-4917.6999999999825</v>
      </c>
      <c r="H50" s="260">
        <f t="shared" si="5"/>
        <v>96.704393984984591</v>
      </c>
    </row>
    <row r="51" spans="1:8" ht="33" customHeight="1">
      <c r="A51" s="261" t="s">
        <v>100</v>
      </c>
      <c r="B51" s="261"/>
      <c r="C51" s="261"/>
      <c r="D51" s="261"/>
      <c r="E51" s="261"/>
      <c r="F51" s="261"/>
      <c r="G51" s="261"/>
      <c r="H51" s="261"/>
    </row>
    <row r="52" spans="1:8" ht="69" customHeight="1">
      <c r="A52" s="262" t="s">
        <v>136</v>
      </c>
      <c r="B52" s="249">
        <v>2110</v>
      </c>
      <c r="C52" s="111">
        <f>SUM(C53:C56)</f>
        <v>-1077.6759999999999</v>
      </c>
      <c r="D52" s="111">
        <f>SUM(D53:D56)</f>
        <v>-1300.3434999999997</v>
      </c>
      <c r="E52" s="111">
        <f>SUM(E53:E56)</f>
        <v>-1486.4</v>
      </c>
      <c r="F52" s="111">
        <f>SUM(F53:F56)</f>
        <v>-1300.3434999999997</v>
      </c>
      <c r="G52" s="111">
        <f t="shared" ref="G52:G68" si="6">F52-E52</f>
        <v>186.05650000000037</v>
      </c>
      <c r="H52" s="111">
        <f>(F52/E52)*100</f>
        <v>87.482743541442389</v>
      </c>
    </row>
    <row r="53" spans="1:8" ht="44.25" customHeight="1">
      <c r="A53" s="251" t="s">
        <v>53</v>
      </c>
      <c r="B53" s="132">
        <v>2111</v>
      </c>
      <c r="C53" s="252">
        <v>-103.6</v>
      </c>
      <c r="D53" s="252">
        <v>-154.6</v>
      </c>
      <c r="E53" s="252">
        <v>-100</v>
      </c>
      <c r="F53" s="252">
        <f>D53</f>
        <v>-154.6</v>
      </c>
      <c r="G53" s="252">
        <f t="shared" si="6"/>
        <v>-54.599999999999994</v>
      </c>
      <c r="H53" s="252">
        <f t="shared" ref="H53:H68" si="7">(F53/E53)*100</f>
        <v>154.6</v>
      </c>
    </row>
    <row r="54" spans="1:8" ht="48.75" customHeight="1">
      <c r="A54" s="263" t="s">
        <v>54</v>
      </c>
      <c r="B54" s="132">
        <v>2112</v>
      </c>
      <c r="C54" s="252" t="s">
        <v>26</v>
      </c>
      <c r="D54" s="252" t="s">
        <v>26</v>
      </c>
      <c r="E54" s="252"/>
      <c r="F54" s="252" t="s">
        <v>26</v>
      </c>
      <c r="G54" s="253" t="e">
        <f t="shared" si="6"/>
        <v>#VALUE!</v>
      </c>
      <c r="H54" s="253" t="e">
        <f t="shared" si="7"/>
        <v>#VALUE!</v>
      </c>
    </row>
    <row r="55" spans="1:8" ht="28.5" customHeight="1">
      <c r="A55" s="251" t="s">
        <v>61</v>
      </c>
      <c r="B55" s="132">
        <v>2113</v>
      </c>
      <c r="C55" s="252">
        <f>-C46*1.5/100</f>
        <v>-974.07600000000002</v>
      </c>
      <c r="D55" s="252">
        <f>-D46*1.5/100</f>
        <v>-1145.7434999999998</v>
      </c>
      <c r="E55" s="252">
        <v>-1386.4</v>
      </c>
      <c r="F55" s="252">
        <f>D55</f>
        <v>-1145.7434999999998</v>
      </c>
      <c r="G55" s="252">
        <f t="shared" si="6"/>
        <v>240.65650000000028</v>
      </c>
      <c r="H55" s="252">
        <f t="shared" si="7"/>
        <v>82.641625793421795</v>
      </c>
    </row>
    <row r="56" spans="1:8" ht="33" customHeight="1">
      <c r="A56" s="251" t="s">
        <v>40</v>
      </c>
      <c r="B56" s="132">
        <v>2114</v>
      </c>
      <c r="C56" s="252" t="s">
        <v>26</v>
      </c>
      <c r="D56" s="252" t="s">
        <v>26</v>
      </c>
      <c r="E56" s="252" t="s">
        <v>26</v>
      </c>
      <c r="F56" s="252" t="s">
        <v>26</v>
      </c>
      <c r="G56" s="253" t="e">
        <f t="shared" si="6"/>
        <v>#VALUE!</v>
      </c>
      <c r="H56" s="253" t="e">
        <f t="shared" si="7"/>
        <v>#VALUE!</v>
      </c>
    </row>
    <row r="57" spans="1:8" ht="43.5" customHeight="1">
      <c r="A57" s="264" t="s">
        <v>58</v>
      </c>
      <c r="B57" s="107">
        <v>2120</v>
      </c>
      <c r="C57" s="111">
        <f>SUM(C58:C63)</f>
        <v>-11689.612000000001</v>
      </c>
      <c r="D57" s="111">
        <f>SUM(D58:D63)</f>
        <v>-13750.821999999998</v>
      </c>
      <c r="E57" s="111">
        <f>SUM(E58:E63)</f>
        <v>-16637.899999999998</v>
      </c>
      <c r="F57" s="111">
        <f>SUM(F58:F63)</f>
        <v>-13750.821999999998</v>
      </c>
      <c r="G57" s="111">
        <f t="shared" si="6"/>
        <v>2887.0779999999995</v>
      </c>
      <c r="H57" s="111">
        <f t="shared" si="7"/>
        <v>82.647581726059187</v>
      </c>
    </row>
    <row r="58" spans="1:8" ht="36" customHeight="1">
      <c r="A58" s="263" t="s">
        <v>38</v>
      </c>
      <c r="B58" s="200">
        <v>2121</v>
      </c>
      <c r="C58" s="252" t="s">
        <v>26</v>
      </c>
      <c r="D58" s="252" t="s">
        <v>26</v>
      </c>
      <c r="E58" s="252" t="s">
        <v>26</v>
      </c>
      <c r="F58" s="252" t="s">
        <v>26</v>
      </c>
      <c r="G58" s="253" t="e">
        <f t="shared" si="6"/>
        <v>#VALUE!</v>
      </c>
      <c r="H58" s="253" t="e">
        <f t="shared" si="7"/>
        <v>#VALUE!</v>
      </c>
    </row>
    <row r="59" spans="1:8" ht="33.75" customHeight="1">
      <c r="A59" s="251" t="s">
        <v>14</v>
      </c>
      <c r="B59" s="200">
        <v>2122</v>
      </c>
      <c r="C59" s="252">
        <f>-C46*18/100</f>
        <v>-11688.912</v>
      </c>
      <c r="D59" s="252">
        <f>-D46*18/100</f>
        <v>-13748.921999999999</v>
      </c>
      <c r="E59" s="252">
        <v>-16637.599999999999</v>
      </c>
      <c r="F59" s="252">
        <f>D59</f>
        <v>-13748.921999999999</v>
      </c>
      <c r="G59" s="252">
        <f t="shared" si="6"/>
        <v>2888.6779999999999</v>
      </c>
      <c r="H59" s="252">
        <f>(F59/E59)*100</f>
        <v>82.637652065201706</v>
      </c>
    </row>
    <row r="60" spans="1:8" ht="31.5" customHeight="1">
      <c r="A60" s="251" t="s">
        <v>44</v>
      </c>
      <c r="B60" s="200">
        <v>2123</v>
      </c>
      <c r="C60" s="252">
        <v>-0.7</v>
      </c>
      <c r="D60" s="252">
        <v>-1.9</v>
      </c>
      <c r="E60" s="252">
        <v>-0.3</v>
      </c>
      <c r="F60" s="252">
        <f>D60</f>
        <v>-1.9</v>
      </c>
      <c r="G60" s="253">
        <f t="shared" si="6"/>
        <v>-1.5999999999999999</v>
      </c>
      <c r="H60" s="253">
        <f t="shared" si="7"/>
        <v>633.33333333333326</v>
      </c>
    </row>
    <row r="61" spans="1:8" ht="31.5" customHeight="1">
      <c r="A61" s="251" t="s">
        <v>45</v>
      </c>
      <c r="B61" s="200">
        <v>2124</v>
      </c>
      <c r="C61" s="252" t="s">
        <v>26</v>
      </c>
      <c r="D61" s="252" t="s">
        <v>26</v>
      </c>
      <c r="E61" s="252" t="s">
        <v>26</v>
      </c>
      <c r="F61" s="252" t="s">
        <v>26</v>
      </c>
      <c r="G61" s="253" t="e">
        <f t="shared" si="6"/>
        <v>#VALUE!</v>
      </c>
      <c r="H61" s="253" t="e">
        <f t="shared" si="7"/>
        <v>#VALUE!</v>
      </c>
    </row>
    <row r="62" spans="1:8" ht="103.5" customHeight="1">
      <c r="A62" s="251" t="s">
        <v>319</v>
      </c>
      <c r="B62" s="200">
        <v>2125</v>
      </c>
      <c r="C62" s="252" t="s">
        <v>26</v>
      </c>
      <c r="D62" s="252" t="s">
        <v>26</v>
      </c>
      <c r="E62" s="252" t="s">
        <v>26</v>
      </c>
      <c r="F62" s="252" t="s">
        <v>26</v>
      </c>
      <c r="G62" s="253" t="e">
        <f t="shared" si="6"/>
        <v>#VALUE!</v>
      </c>
      <c r="H62" s="253" t="e">
        <f t="shared" si="7"/>
        <v>#VALUE!</v>
      </c>
    </row>
    <row r="63" spans="1:8" ht="31.5" customHeight="1">
      <c r="A63" s="251" t="s">
        <v>40</v>
      </c>
      <c r="B63" s="200">
        <v>2126</v>
      </c>
      <c r="C63" s="252" t="s">
        <v>26</v>
      </c>
      <c r="D63" s="252" t="s">
        <v>26</v>
      </c>
      <c r="E63" s="252" t="s">
        <v>26</v>
      </c>
      <c r="F63" s="252" t="s">
        <v>26</v>
      </c>
      <c r="G63" s="253" t="e">
        <f t="shared" si="6"/>
        <v>#VALUE!</v>
      </c>
      <c r="H63" s="253" t="e">
        <f t="shared" si="7"/>
        <v>#VALUE!</v>
      </c>
    </row>
    <row r="64" spans="1:8" ht="48" customHeight="1">
      <c r="A64" s="262" t="s">
        <v>59</v>
      </c>
      <c r="B64" s="107">
        <v>2130</v>
      </c>
      <c r="C64" s="111">
        <f>SUM(C65:C67)</f>
        <v>-14032.5</v>
      </c>
      <c r="D64" s="111">
        <f>SUM(D65:D67)</f>
        <v>-16467</v>
      </c>
      <c r="E64" s="111">
        <f>SUM(E65:E67)</f>
        <v>-22836.400000000001</v>
      </c>
      <c r="F64" s="111">
        <f>SUM(F65:F67)</f>
        <v>-16467</v>
      </c>
      <c r="G64" s="111">
        <f t="shared" si="6"/>
        <v>6369.4000000000015</v>
      </c>
      <c r="H64" s="111">
        <f t="shared" si="7"/>
        <v>72.108563521395666</v>
      </c>
    </row>
    <row r="65" spans="1:10" ht="33" customHeight="1">
      <c r="A65" s="251" t="s">
        <v>41</v>
      </c>
      <c r="B65" s="200">
        <v>2131</v>
      </c>
      <c r="C65" s="252" t="s">
        <v>26</v>
      </c>
      <c r="D65" s="252" t="s">
        <v>26</v>
      </c>
      <c r="E65" s="252" t="s">
        <v>26</v>
      </c>
      <c r="F65" s="252" t="s">
        <v>26</v>
      </c>
      <c r="G65" s="253" t="e">
        <f t="shared" si="6"/>
        <v>#VALUE!</v>
      </c>
      <c r="H65" s="253" t="e">
        <f t="shared" si="7"/>
        <v>#VALUE!</v>
      </c>
    </row>
    <row r="66" spans="1:10" ht="44.25" customHeight="1">
      <c r="A66" s="251" t="s">
        <v>42</v>
      </c>
      <c r="B66" s="200">
        <v>2132</v>
      </c>
      <c r="C66" s="252">
        <v>-13720.2</v>
      </c>
      <c r="D66" s="252">
        <f>-D47</f>
        <v>-16218.6</v>
      </c>
      <c r="E66" s="252">
        <v>-22536.400000000001</v>
      </c>
      <c r="F66" s="252">
        <f>D66</f>
        <v>-16218.6</v>
      </c>
      <c r="G66" s="252">
        <f>F66-E66</f>
        <v>6317.8000000000011</v>
      </c>
      <c r="H66" s="252">
        <f t="shared" si="7"/>
        <v>71.966241280772437</v>
      </c>
    </row>
    <row r="67" spans="1:10" ht="35.25" customHeight="1">
      <c r="A67" s="251" t="s">
        <v>43</v>
      </c>
      <c r="B67" s="200">
        <v>2133</v>
      </c>
      <c r="C67" s="252">
        <v>-312.3</v>
      </c>
      <c r="D67" s="252">
        <v>-248.4</v>
      </c>
      <c r="E67" s="252">
        <v>-300</v>
      </c>
      <c r="F67" s="252">
        <f>D67</f>
        <v>-248.4</v>
      </c>
      <c r="G67" s="252">
        <f t="shared" si="6"/>
        <v>51.599999999999994</v>
      </c>
      <c r="H67" s="252">
        <f t="shared" si="7"/>
        <v>82.800000000000011</v>
      </c>
      <c r="I67" s="131" t="s">
        <v>245</v>
      </c>
    </row>
    <row r="68" spans="1:10" ht="30.75" customHeight="1">
      <c r="A68" s="264" t="s">
        <v>55</v>
      </c>
      <c r="B68" s="107">
        <v>2200</v>
      </c>
      <c r="C68" s="111">
        <f>SUM(C52+C57+C64)</f>
        <v>-26799.788</v>
      </c>
      <c r="D68" s="111">
        <f>SUM(D52+D57+D64)</f>
        <v>-31518.165499999996</v>
      </c>
      <c r="E68" s="111">
        <f>SUM(E52+E57+E64)</f>
        <v>-40960.699999999997</v>
      </c>
      <c r="F68" s="111">
        <f>SUM(F52+F57+F64)</f>
        <v>-31518.165499999996</v>
      </c>
      <c r="G68" s="111">
        <f t="shared" si="6"/>
        <v>9442.5345000000016</v>
      </c>
      <c r="H68" s="111">
        <f t="shared" si="7"/>
        <v>76.947331222366799</v>
      </c>
    </row>
    <row r="69" spans="1:10" ht="30.75" customHeight="1">
      <c r="A69" s="265" t="s">
        <v>705</v>
      </c>
      <c r="B69" s="266"/>
      <c r="C69" s="266"/>
      <c r="D69" s="266"/>
      <c r="E69" s="266"/>
      <c r="F69" s="266"/>
      <c r="G69" s="266"/>
      <c r="H69" s="267"/>
    </row>
    <row r="70" spans="1:10" ht="42.75" customHeight="1">
      <c r="A70" s="268" t="s">
        <v>659</v>
      </c>
      <c r="B70" s="107"/>
      <c r="C70" s="269"/>
      <c r="D70" s="269"/>
      <c r="E70" s="269"/>
      <c r="F70" s="269"/>
      <c r="G70" s="269"/>
      <c r="H70" s="269"/>
    </row>
    <row r="71" spans="1:10" ht="43.5" customHeight="1">
      <c r="A71" s="248" t="s">
        <v>683</v>
      </c>
      <c r="B71" s="249">
        <v>3000</v>
      </c>
      <c r="C71" s="269">
        <f>SUM(C72:C75)</f>
        <v>101382.40000000001</v>
      </c>
      <c r="D71" s="269">
        <f>SUM(D72:D75)</f>
        <v>143776.4</v>
      </c>
      <c r="E71" s="269">
        <f>SUM(E72:E75)</f>
        <v>146309.90000000002</v>
      </c>
      <c r="F71" s="269">
        <f>SUM(F72:F75)</f>
        <v>143776.4</v>
      </c>
      <c r="G71" s="269">
        <f>F71-E71</f>
        <v>-2533.5000000000291</v>
      </c>
      <c r="H71" s="269">
        <f>(F71/E71)*100</f>
        <v>98.268401523068476</v>
      </c>
    </row>
    <row r="72" spans="1:10" ht="44.25" customHeight="1">
      <c r="A72" s="254" t="s">
        <v>661</v>
      </c>
      <c r="B72" s="132">
        <v>3010</v>
      </c>
      <c r="C72" s="270">
        <v>86185.3</v>
      </c>
      <c r="D72" s="270">
        <f>'розшифровка до руху '!E8</f>
        <v>123660.1</v>
      </c>
      <c r="E72" s="270">
        <f>'розшифровка до руху '!D8</f>
        <v>125264.7</v>
      </c>
      <c r="F72" s="270">
        <f>D72</f>
        <v>123660.1</v>
      </c>
      <c r="G72" s="269">
        <f t="shared" ref="G72:G117" si="8">F72-E72</f>
        <v>-1604.5999999999913</v>
      </c>
      <c r="H72" s="270">
        <f t="shared" ref="H72:H117" si="9">(F72/E72)*100</f>
        <v>98.71903257661576</v>
      </c>
    </row>
    <row r="73" spans="1:10" ht="30.75" customHeight="1">
      <c r="A73" s="254" t="s">
        <v>684</v>
      </c>
      <c r="B73" s="132">
        <v>3020</v>
      </c>
      <c r="C73" s="270">
        <f>'розшифровка до руху '!C14</f>
        <v>14472.1</v>
      </c>
      <c r="D73" s="270">
        <f>'розшифровка до руху '!E14</f>
        <v>19136.5</v>
      </c>
      <c r="E73" s="270">
        <f>'розшифровка до руху '!D14</f>
        <v>20902</v>
      </c>
      <c r="F73" s="270">
        <f>D73</f>
        <v>19136.5</v>
      </c>
      <c r="G73" s="269">
        <f t="shared" si="8"/>
        <v>-1765.5</v>
      </c>
      <c r="H73" s="270">
        <f t="shared" si="9"/>
        <v>91.553439862214148</v>
      </c>
    </row>
    <row r="74" spans="1:10" ht="46.5" customHeight="1">
      <c r="A74" s="251" t="s">
        <v>685</v>
      </c>
      <c r="B74" s="132">
        <v>3030</v>
      </c>
      <c r="C74" s="270"/>
      <c r="D74" s="270"/>
      <c r="E74" s="270"/>
      <c r="F74" s="270">
        <f>D74</f>
        <v>0</v>
      </c>
      <c r="G74" s="269">
        <f t="shared" si="8"/>
        <v>0</v>
      </c>
      <c r="H74" s="270" t="e">
        <f t="shared" si="9"/>
        <v>#DIV/0!</v>
      </c>
    </row>
    <row r="75" spans="1:10" ht="30.75" customHeight="1">
      <c r="A75" s="251" t="s">
        <v>686</v>
      </c>
      <c r="B75" s="132">
        <v>3040</v>
      </c>
      <c r="C75" s="270">
        <f>'розшифровка до руху '!C18</f>
        <v>725</v>
      </c>
      <c r="D75" s="270">
        <f>'розшифровка до руху '!E18</f>
        <v>979.8</v>
      </c>
      <c r="E75" s="270">
        <f>'розшифровка до руху '!D18</f>
        <v>143.19999999999999</v>
      </c>
      <c r="F75" s="270">
        <f>D75</f>
        <v>979.8</v>
      </c>
      <c r="G75" s="269">
        <f t="shared" si="8"/>
        <v>836.59999999999991</v>
      </c>
      <c r="H75" s="270">
        <f t="shared" si="9"/>
        <v>684.2178770949721</v>
      </c>
    </row>
    <row r="76" spans="1:10" ht="43.5" customHeight="1">
      <c r="A76" s="248" t="s">
        <v>670</v>
      </c>
      <c r="B76" s="249">
        <v>3100</v>
      </c>
      <c r="C76" s="269">
        <f>SUM(C77:C79,C87,C88)</f>
        <v>-92607.012000000002</v>
      </c>
      <c r="D76" s="269">
        <f>SUM(D77:D79,D87,D88)</f>
        <v>-133013.1</v>
      </c>
      <c r="E76" s="269">
        <f>SUM(E77:E79,E87,E88)</f>
        <v>-139067.5</v>
      </c>
      <c r="F76" s="269">
        <f>SUM(F77:F79,F87,F88)</f>
        <v>-133013.1</v>
      </c>
      <c r="G76" s="269">
        <f t="shared" si="8"/>
        <v>6054.3999999999942</v>
      </c>
      <c r="H76" s="269">
        <f t="shared" si="9"/>
        <v>95.64643069013249</v>
      </c>
    </row>
    <row r="77" spans="1:10" ht="41.25" customHeight="1">
      <c r="A77" s="251" t="s">
        <v>687</v>
      </c>
      <c r="B77" s="132">
        <v>3110</v>
      </c>
      <c r="C77" s="269">
        <v>-13773.6</v>
      </c>
      <c r="D77" s="269">
        <f>-34017.1-6423.4-68.6+236+18</f>
        <v>-40255.1</v>
      </c>
      <c r="E77" s="269">
        <v>-24000</v>
      </c>
      <c r="F77" s="269">
        <f>D77</f>
        <v>-40255.1</v>
      </c>
      <c r="G77" s="269">
        <f t="shared" si="8"/>
        <v>-16255.099999999999</v>
      </c>
      <c r="H77" s="270">
        <f t="shared" si="9"/>
        <v>167.72958333333332</v>
      </c>
    </row>
    <row r="78" spans="1:10" ht="30.75" customHeight="1">
      <c r="A78" s="251" t="s">
        <v>688</v>
      </c>
      <c r="B78" s="132">
        <v>3120</v>
      </c>
      <c r="C78" s="269">
        <f>-C46-C55-C59-C67</f>
        <v>-51963.111999999994</v>
      </c>
      <c r="D78" s="269">
        <f>-D46-D55-D59-D67</f>
        <v>-61239.834499999997</v>
      </c>
      <c r="E78" s="269">
        <f>-E46-E55-E59-E67</f>
        <v>-74106.799999999988</v>
      </c>
      <c r="F78" s="269">
        <f>D78</f>
        <v>-61239.834499999997</v>
      </c>
      <c r="G78" s="269">
        <f t="shared" si="8"/>
        <v>12866.965499999991</v>
      </c>
      <c r="H78" s="270">
        <f t="shared" si="9"/>
        <v>82.637267430249324</v>
      </c>
      <c r="I78" s="256"/>
    </row>
    <row r="79" spans="1:10" ht="42" customHeight="1">
      <c r="A79" s="271" t="s">
        <v>689</v>
      </c>
      <c r="B79" s="272">
        <v>3130</v>
      </c>
      <c r="C79" s="273">
        <v>-26487.5</v>
      </c>
      <c r="D79" s="273">
        <f>SUM(D80:D86)</f>
        <v>-31269.765500000001</v>
      </c>
      <c r="E79" s="273">
        <f>SUM(E80:E86)</f>
        <v>-40660.699999999997</v>
      </c>
      <c r="F79" s="273">
        <f>SUM(F80:F86)</f>
        <v>-31269.765500000001</v>
      </c>
      <c r="G79" s="269">
        <f t="shared" si="8"/>
        <v>9390.9344999999958</v>
      </c>
      <c r="H79" s="273">
        <f t="shared" si="9"/>
        <v>76.904149461273434</v>
      </c>
      <c r="I79" s="256"/>
      <c r="J79" s="256"/>
    </row>
    <row r="80" spans="1:10" ht="30.75" customHeight="1">
      <c r="A80" s="251" t="s">
        <v>38</v>
      </c>
      <c r="B80" s="132">
        <v>3131</v>
      </c>
      <c r="C80" s="269"/>
      <c r="D80" s="269"/>
      <c r="E80" s="269"/>
      <c r="F80" s="269"/>
      <c r="G80" s="269">
        <f t="shared" si="8"/>
        <v>0</v>
      </c>
      <c r="H80" s="274" t="e">
        <f t="shared" si="9"/>
        <v>#DIV/0!</v>
      </c>
    </row>
    <row r="81" spans="1:8" ht="30.75" customHeight="1">
      <c r="A81" s="251" t="s">
        <v>186</v>
      </c>
      <c r="B81" s="132">
        <v>3132</v>
      </c>
      <c r="C81" s="270">
        <f>C53</f>
        <v>-103.6</v>
      </c>
      <c r="D81" s="270">
        <f>D53</f>
        <v>-154.6</v>
      </c>
      <c r="E81" s="270">
        <v>-100</v>
      </c>
      <c r="F81" s="270">
        <f t="shared" ref="F81:F87" si="10">D81</f>
        <v>-154.6</v>
      </c>
      <c r="G81" s="270">
        <f t="shared" si="8"/>
        <v>-54.599999999999994</v>
      </c>
      <c r="H81" s="270">
        <f t="shared" si="9"/>
        <v>154.6</v>
      </c>
    </row>
    <row r="82" spans="1:8" ht="30.75" customHeight="1">
      <c r="A82" s="251" t="s">
        <v>14</v>
      </c>
      <c r="B82" s="132">
        <v>3133</v>
      </c>
      <c r="C82" s="270">
        <v>-11688.9</v>
      </c>
      <c r="D82" s="270">
        <f>D59</f>
        <v>-13748.921999999999</v>
      </c>
      <c r="E82" s="270">
        <v>-16637.599999999999</v>
      </c>
      <c r="F82" s="270">
        <f t="shared" si="10"/>
        <v>-13748.921999999999</v>
      </c>
      <c r="G82" s="270">
        <f t="shared" si="8"/>
        <v>2888.6779999999999</v>
      </c>
      <c r="H82" s="270">
        <f t="shared" si="9"/>
        <v>82.637652065201706</v>
      </c>
    </row>
    <row r="83" spans="1:8" ht="30.75" customHeight="1">
      <c r="A83" s="251" t="s">
        <v>44</v>
      </c>
      <c r="B83" s="132">
        <v>3134</v>
      </c>
      <c r="C83" s="270">
        <v>-0.7</v>
      </c>
      <c r="D83" s="270">
        <f>D60</f>
        <v>-1.9</v>
      </c>
      <c r="E83" s="270">
        <v>-0.3</v>
      </c>
      <c r="F83" s="270">
        <f t="shared" si="10"/>
        <v>-1.9</v>
      </c>
      <c r="G83" s="270">
        <f t="shared" si="8"/>
        <v>-1.5999999999999999</v>
      </c>
      <c r="H83" s="270">
        <f t="shared" si="9"/>
        <v>633.33333333333326</v>
      </c>
    </row>
    <row r="84" spans="1:8" ht="30.75" customHeight="1">
      <c r="A84" s="251" t="s">
        <v>45</v>
      </c>
      <c r="B84" s="132">
        <v>3135</v>
      </c>
      <c r="C84" s="270"/>
      <c r="D84" s="270"/>
      <c r="E84" s="270"/>
      <c r="F84" s="270">
        <f t="shared" si="10"/>
        <v>0</v>
      </c>
      <c r="G84" s="270">
        <f t="shared" si="8"/>
        <v>0</v>
      </c>
      <c r="H84" s="274" t="e">
        <f t="shared" si="9"/>
        <v>#DIV/0!</v>
      </c>
    </row>
    <row r="85" spans="1:8" ht="30.75" customHeight="1">
      <c r="A85" s="251" t="s">
        <v>61</v>
      </c>
      <c r="B85" s="132">
        <v>3136</v>
      </c>
      <c r="C85" s="270">
        <v>-974.1</v>
      </c>
      <c r="D85" s="270">
        <f>D55</f>
        <v>-1145.7434999999998</v>
      </c>
      <c r="E85" s="270">
        <v>-1386.4</v>
      </c>
      <c r="F85" s="270">
        <f t="shared" si="10"/>
        <v>-1145.7434999999998</v>
      </c>
      <c r="G85" s="270">
        <f t="shared" si="8"/>
        <v>240.65650000000028</v>
      </c>
      <c r="H85" s="270">
        <f t="shared" si="9"/>
        <v>82.641625793421795</v>
      </c>
    </row>
    <row r="86" spans="1:8" ht="44.25" customHeight="1">
      <c r="A86" s="251" t="s">
        <v>690</v>
      </c>
      <c r="B86" s="132">
        <v>3137</v>
      </c>
      <c r="C86" s="270">
        <v>-13720.2</v>
      </c>
      <c r="D86" s="270">
        <f>D66</f>
        <v>-16218.6</v>
      </c>
      <c r="E86" s="270">
        <v>-22536.400000000001</v>
      </c>
      <c r="F86" s="270">
        <f t="shared" si="10"/>
        <v>-16218.6</v>
      </c>
      <c r="G86" s="270">
        <f t="shared" si="8"/>
        <v>6317.8000000000011</v>
      </c>
      <c r="H86" s="270">
        <f t="shared" si="9"/>
        <v>71.966241280772437</v>
      </c>
    </row>
    <row r="87" spans="1:8" ht="30.75" customHeight="1">
      <c r="A87" s="251" t="s">
        <v>691</v>
      </c>
      <c r="B87" s="132">
        <v>3138</v>
      </c>
      <c r="C87" s="270">
        <v>-312.3</v>
      </c>
      <c r="D87" s="270">
        <f>D67</f>
        <v>-248.4</v>
      </c>
      <c r="E87" s="270">
        <v>-300</v>
      </c>
      <c r="F87" s="270">
        <f t="shared" si="10"/>
        <v>-248.4</v>
      </c>
      <c r="G87" s="270">
        <f t="shared" si="8"/>
        <v>51.599999999999994</v>
      </c>
      <c r="H87" s="270">
        <f t="shared" si="9"/>
        <v>82.800000000000011</v>
      </c>
    </row>
    <row r="88" spans="1:8" ht="30.75" customHeight="1">
      <c r="A88" s="254" t="s">
        <v>50</v>
      </c>
      <c r="B88" s="132">
        <v>3139</v>
      </c>
      <c r="C88" s="270">
        <v>-70.5</v>
      </c>
      <c r="D88" s="270"/>
      <c r="E88" s="270"/>
      <c r="F88" s="270"/>
      <c r="G88" s="269">
        <f t="shared" si="8"/>
        <v>0</v>
      </c>
      <c r="H88" s="274" t="e">
        <f t="shared" si="9"/>
        <v>#DIV/0!</v>
      </c>
    </row>
    <row r="89" spans="1:8" ht="48" customHeight="1">
      <c r="A89" s="264" t="s">
        <v>692</v>
      </c>
      <c r="B89" s="107">
        <v>3160</v>
      </c>
      <c r="C89" s="269">
        <f>SUM(C71,C76)</f>
        <v>8775.3880000000063</v>
      </c>
      <c r="D89" s="269">
        <f>SUM(D71,D76)</f>
        <v>10763.299999999988</v>
      </c>
      <c r="E89" s="269">
        <f>SUM(E71,E76)</f>
        <v>7242.4000000000233</v>
      </c>
      <c r="F89" s="269">
        <f>SUM(F71,F76)</f>
        <v>10763.299999999988</v>
      </c>
      <c r="G89" s="269">
        <f t="shared" si="8"/>
        <v>3520.8999999999651</v>
      </c>
      <c r="H89" s="269">
        <f t="shared" si="9"/>
        <v>148.61509996686118</v>
      </c>
    </row>
    <row r="90" spans="1:8" ht="44.25" customHeight="1">
      <c r="A90" s="268" t="s">
        <v>673</v>
      </c>
      <c r="B90" s="200"/>
      <c r="C90" s="270"/>
      <c r="D90" s="270"/>
      <c r="E90" s="270"/>
      <c r="F90" s="270"/>
      <c r="G90" s="269"/>
      <c r="H90" s="269"/>
    </row>
    <row r="91" spans="1:8" ht="42.75" customHeight="1">
      <c r="A91" s="264" t="s">
        <v>674</v>
      </c>
      <c r="B91" s="107">
        <v>3200</v>
      </c>
      <c r="C91" s="269">
        <f>C92</f>
        <v>23181.1</v>
      </c>
      <c r="D91" s="269">
        <f>D92</f>
        <v>21546.9</v>
      </c>
      <c r="E91" s="269">
        <f>E92</f>
        <v>21546.9</v>
      </c>
      <c r="F91" s="269">
        <f>F92</f>
        <v>21546.9</v>
      </c>
      <c r="G91" s="269">
        <f t="shared" si="8"/>
        <v>0</v>
      </c>
      <c r="H91" s="269">
        <f t="shared" si="9"/>
        <v>100</v>
      </c>
    </row>
    <row r="92" spans="1:8" ht="30.75" customHeight="1">
      <c r="A92" s="275" t="s">
        <v>693</v>
      </c>
      <c r="B92" s="200">
        <v>3210</v>
      </c>
      <c r="C92" s="270">
        <v>23181.1</v>
      </c>
      <c r="D92" s="270">
        <v>21546.9</v>
      </c>
      <c r="E92" s="270">
        <v>21546.9</v>
      </c>
      <c r="F92" s="270">
        <f>D92</f>
        <v>21546.9</v>
      </c>
      <c r="G92" s="269">
        <f t="shared" si="8"/>
        <v>0</v>
      </c>
      <c r="H92" s="270">
        <f t="shared" si="9"/>
        <v>100</v>
      </c>
    </row>
    <row r="93" spans="1:8" ht="41.25" customHeight="1">
      <c r="A93" s="264" t="s">
        <v>675</v>
      </c>
      <c r="B93" s="107">
        <v>3255</v>
      </c>
      <c r="C93" s="269">
        <f>SUM(C94,C101)</f>
        <v>-31894.7</v>
      </c>
      <c r="D93" s="269">
        <f>SUM(D94,D101)</f>
        <v>-22888.1</v>
      </c>
      <c r="E93" s="269">
        <f>SUM(E94,E101)</f>
        <v>-21546.9</v>
      </c>
      <c r="F93" s="269">
        <f>SUM(F94,F101)</f>
        <v>-22888.1</v>
      </c>
      <c r="G93" s="269">
        <f t="shared" si="8"/>
        <v>-1341.1999999999971</v>
      </c>
      <c r="H93" s="269">
        <f t="shared" si="9"/>
        <v>106.22456130580267</v>
      </c>
    </row>
    <row r="94" spans="1:8" ht="48.75" customHeight="1">
      <c r="A94" s="271" t="s">
        <v>676</v>
      </c>
      <c r="B94" s="276">
        <v>3260</v>
      </c>
      <c r="C94" s="273">
        <f>SUM(C95:C100)</f>
        <v>-31894.7</v>
      </c>
      <c r="D94" s="273">
        <f>SUM(D95:D100)</f>
        <v>-22888.1</v>
      </c>
      <c r="E94" s="273">
        <f>SUM(E95:E100)</f>
        <v>-21546.9</v>
      </c>
      <c r="F94" s="273">
        <f>SUM(F95:F100)</f>
        <v>-22888.1</v>
      </c>
      <c r="G94" s="269">
        <f t="shared" si="8"/>
        <v>-1341.1999999999971</v>
      </c>
      <c r="H94" s="273">
        <f t="shared" si="9"/>
        <v>106.22456130580267</v>
      </c>
    </row>
    <row r="95" spans="1:8" ht="30.75" customHeight="1">
      <c r="A95" s="251" t="s">
        <v>62</v>
      </c>
      <c r="B95" s="200">
        <v>3265</v>
      </c>
      <c r="C95" s="270"/>
      <c r="D95" s="270"/>
      <c r="E95" s="270"/>
      <c r="F95" s="270"/>
      <c r="G95" s="269">
        <f t="shared" si="8"/>
        <v>0</v>
      </c>
      <c r="H95" s="274" t="e">
        <f t="shared" si="9"/>
        <v>#DIV/0!</v>
      </c>
    </row>
    <row r="96" spans="1:8" ht="45.75" customHeight="1">
      <c r="A96" s="251" t="s">
        <v>128</v>
      </c>
      <c r="B96" s="200">
        <v>3266</v>
      </c>
      <c r="C96" s="270">
        <f>-'розшифровка до руху '!C35</f>
        <v>-30234.5</v>
      </c>
      <c r="D96" s="270">
        <f>-'розшифровка до руху '!E35</f>
        <v>-7599.9000000000005</v>
      </c>
      <c r="E96" s="270">
        <f>-'розшифровка до руху '!D35</f>
        <v>-6914.8</v>
      </c>
      <c r="F96" s="270">
        <f>D96</f>
        <v>-7599.9000000000005</v>
      </c>
      <c r="G96" s="269">
        <f t="shared" si="8"/>
        <v>-685.10000000000036</v>
      </c>
      <c r="H96" s="270">
        <f t="shared" si="9"/>
        <v>109.90773413547754</v>
      </c>
    </row>
    <row r="97" spans="1:8" ht="48.75" customHeight="1">
      <c r="A97" s="251" t="s">
        <v>7</v>
      </c>
      <c r="B97" s="200">
        <v>3267</v>
      </c>
      <c r="C97" s="270">
        <f>-'розшифровка до руху '!C92</f>
        <v>-660.3000000000003</v>
      </c>
      <c r="D97" s="270">
        <f>-'розшифровка до руху '!E92</f>
        <v>-618.59999999999991</v>
      </c>
      <c r="E97" s="270"/>
      <c r="F97" s="270">
        <f>D97</f>
        <v>-618.59999999999991</v>
      </c>
      <c r="G97" s="269">
        <f t="shared" si="8"/>
        <v>-618.59999999999991</v>
      </c>
      <c r="H97" s="274" t="e">
        <f t="shared" si="9"/>
        <v>#DIV/0!</v>
      </c>
    </row>
    <row r="98" spans="1:8" ht="53.25" customHeight="1">
      <c r="A98" s="251" t="s">
        <v>129</v>
      </c>
      <c r="B98" s="200">
        <v>3268</v>
      </c>
      <c r="C98" s="270"/>
      <c r="D98" s="270"/>
      <c r="E98" s="270"/>
      <c r="F98" s="270"/>
      <c r="G98" s="269">
        <f t="shared" si="8"/>
        <v>0</v>
      </c>
      <c r="H98" s="274" t="e">
        <f t="shared" si="9"/>
        <v>#DIV/0!</v>
      </c>
    </row>
    <row r="99" spans="1:8" ht="74.25" customHeight="1">
      <c r="A99" s="251" t="s">
        <v>63</v>
      </c>
      <c r="B99" s="200">
        <v>3269</v>
      </c>
      <c r="C99" s="270"/>
      <c r="D99" s="270"/>
      <c r="E99" s="270"/>
      <c r="F99" s="270"/>
      <c r="G99" s="269">
        <f t="shared" si="8"/>
        <v>0</v>
      </c>
      <c r="H99" s="274" t="e">
        <f t="shared" si="9"/>
        <v>#DIV/0!</v>
      </c>
    </row>
    <row r="100" spans="1:8" ht="36" customHeight="1">
      <c r="A100" s="251" t="s">
        <v>64</v>
      </c>
      <c r="B100" s="200">
        <v>3270</v>
      </c>
      <c r="C100" s="270">
        <f>-'розшифровка до руху '!C182</f>
        <v>-999.9</v>
      </c>
      <c r="D100" s="270">
        <f>-'розшифровка до руху '!E182</f>
        <v>-14669.6</v>
      </c>
      <c r="E100" s="270">
        <f>-'розшифровка до руху '!D182</f>
        <v>-14632.1</v>
      </c>
      <c r="F100" s="270">
        <f>D100</f>
        <v>-14669.6</v>
      </c>
      <c r="G100" s="269">
        <f t="shared" si="8"/>
        <v>-37.5</v>
      </c>
      <c r="H100" s="270">
        <f t="shared" si="9"/>
        <v>100.25628583730291</v>
      </c>
    </row>
    <row r="101" spans="1:8" ht="30.75" customHeight="1">
      <c r="A101" s="251" t="s">
        <v>50</v>
      </c>
      <c r="B101" s="200">
        <v>3280</v>
      </c>
      <c r="C101" s="270"/>
      <c r="D101" s="270"/>
      <c r="E101" s="270"/>
      <c r="F101" s="270"/>
      <c r="G101" s="269">
        <f t="shared" si="8"/>
        <v>0</v>
      </c>
      <c r="H101" s="274" t="e">
        <f t="shared" si="9"/>
        <v>#DIV/0!</v>
      </c>
    </row>
    <row r="102" spans="1:8" ht="52.5" customHeight="1">
      <c r="A102" s="259" t="s">
        <v>694</v>
      </c>
      <c r="B102" s="107">
        <v>3295</v>
      </c>
      <c r="C102" s="269">
        <f>SUM(C91,C93)</f>
        <v>-8713.6000000000022</v>
      </c>
      <c r="D102" s="269">
        <f>SUM(D91,D93)</f>
        <v>-1341.1999999999971</v>
      </c>
      <c r="E102" s="269">
        <f>SUM(E91,E93)</f>
        <v>0</v>
      </c>
      <c r="F102" s="269">
        <f>SUM(F91,F93)</f>
        <v>-1341.1999999999971</v>
      </c>
      <c r="G102" s="269">
        <f t="shared" si="8"/>
        <v>-1341.1999999999971</v>
      </c>
      <c r="H102" s="277" t="e">
        <f t="shared" si="9"/>
        <v>#DIV/0!</v>
      </c>
    </row>
    <row r="103" spans="1:8" ht="48" customHeight="1">
      <c r="A103" s="107" t="s">
        <v>680</v>
      </c>
      <c r="B103" s="107"/>
      <c r="C103" s="269"/>
      <c r="D103" s="269"/>
      <c r="E103" s="269"/>
      <c r="F103" s="269"/>
      <c r="G103" s="269"/>
      <c r="H103" s="269"/>
    </row>
    <row r="104" spans="1:8" ht="47.25" customHeight="1">
      <c r="A104" s="259" t="s">
        <v>681</v>
      </c>
      <c r="B104" s="107">
        <v>3300</v>
      </c>
      <c r="C104" s="269">
        <f>SUM(C105:C108)</f>
        <v>49</v>
      </c>
      <c r="D104" s="269">
        <f>SUM(D105:D108)</f>
        <v>281.39999999999998</v>
      </c>
      <c r="E104" s="269">
        <f>SUM(E105:E108)</f>
        <v>50</v>
      </c>
      <c r="F104" s="269">
        <f>SUM(F105:F108)</f>
        <v>281.39999999999998</v>
      </c>
      <c r="G104" s="269">
        <f t="shared" si="8"/>
        <v>231.39999999999998</v>
      </c>
      <c r="H104" s="269">
        <f t="shared" si="9"/>
        <v>562.79999999999995</v>
      </c>
    </row>
    <row r="105" spans="1:8" ht="30.75" customHeight="1">
      <c r="A105" s="251" t="s">
        <v>695</v>
      </c>
      <c r="B105" s="200">
        <v>3310</v>
      </c>
      <c r="C105" s="270"/>
      <c r="D105" s="270"/>
      <c r="E105" s="270"/>
      <c r="F105" s="270"/>
      <c r="G105" s="269">
        <f t="shared" si="8"/>
        <v>0</v>
      </c>
      <c r="H105" s="274" t="e">
        <f t="shared" si="9"/>
        <v>#DIV/0!</v>
      </c>
    </row>
    <row r="106" spans="1:8" ht="45" customHeight="1">
      <c r="A106" s="251" t="s">
        <v>201</v>
      </c>
      <c r="B106" s="200">
        <v>3320</v>
      </c>
      <c r="C106" s="270">
        <v>49</v>
      </c>
      <c r="D106" s="270">
        <v>281.39999999999998</v>
      </c>
      <c r="E106" s="270">
        <v>50</v>
      </c>
      <c r="F106" s="270">
        <f>D106</f>
        <v>281.39999999999998</v>
      </c>
      <c r="G106" s="269">
        <f t="shared" si="8"/>
        <v>231.39999999999998</v>
      </c>
      <c r="H106" s="274">
        <f t="shared" si="9"/>
        <v>562.79999999999995</v>
      </c>
    </row>
    <row r="107" spans="1:8" ht="45.75" customHeight="1">
      <c r="A107" s="251" t="s">
        <v>696</v>
      </c>
      <c r="B107" s="200">
        <v>3330</v>
      </c>
      <c r="C107" s="270"/>
      <c r="D107" s="270"/>
      <c r="E107" s="270"/>
      <c r="F107" s="270"/>
      <c r="G107" s="269">
        <f t="shared" si="8"/>
        <v>0</v>
      </c>
      <c r="H107" s="274" t="e">
        <f t="shared" si="9"/>
        <v>#DIV/0!</v>
      </c>
    </row>
    <row r="108" spans="1:8" ht="30.75" customHeight="1">
      <c r="A108" s="251" t="s">
        <v>686</v>
      </c>
      <c r="B108" s="200">
        <v>3340</v>
      </c>
      <c r="C108" s="270"/>
      <c r="D108" s="270"/>
      <c r="E108" s="270"/>
      <c r="F108" s="270"/>
      <c r="G108" s="269">
        <f t="shared" si="8"/>
        <v>0</v>
      </c>
      <c r="H108" s="270" t="e">
        <f t="shared" si="9"/>
        <v>#DIV/0!</v>
      </c>
    </row>
    <row r="109" spans="1:8" ht="48" customHeight="1">
      <c r="A109" s="259" t="s">
        <v>697</v>
      </c>
      <c r="B109" s="107">
        <v>3345</v>
      </c>
      <c r="C109" s="269">
        <f>SUM(C110:C113)</f>
        <v>0</v>
      </c>
      <c r="D109" s="269">
        <f>SUM(D110:D113)</f>
        <v>0</v>
      </c>
      <c r="E109" s="269">
        <f>SUM(E110:E113)</f>
        <v>0</v>
      </c>
      <c r="F109" s="269">
        <f>SUM(F110:F113)</f>
        <v>0</v>
      </c>
      <c r="G109" s="269">
        <f t="shared" si="8"/>
        <v>0</v>
      </c>
      <c r="H109" s="277" t="e">
        <f t="shared" si="9"/>
        <v>#DIV/0!</v>
      </c>
    </row>
    <row r="110" spans="1:8" ht="45.75" customHeight="1">
      <c r="A110" s="251" t="s">
        <v>698</v>
      </c>
      <c r="B110" s="200">
        <v>3350</v>
      </c>
      <c r="C110" s="269"/>
      <c r="D110" s="269"/>
      <c r="E110" s="269"/>
      <c r="F110" s="269"/>
      <c r="G110" s="269">
        <f t="shared" si="8"/>
        <v>0</v>
      </c>
      <c r="H110" s="274" t="e">
        <f t="shared" si="9"/>
        <v>#DIV/0!</v>
      </c>
    </row>
    <row r="111" spans="1:8" ht="33" customHeight="1">
      <c r="A111" s="251" t="s">
        <v>699</v>
      </c>
      <c r="B111" s="200">
        <v>3355</v>
      </c>
      <c r="C111" s="269"/>
      <c r="D111" s="269"/>
      <c r="E111" s="269"/>
      <c r="F111" s="269"/>
      <c r="G111" s="269">
        <f t="shared" si="8"/>
        <v>0</v>
      </c>
      <c r="H111" s="274" t="e">
        <f t="shared" si="9"/>
        <v>#DIV/0!</v>
      </c>
    </row>
    <row r="112" spans="1:8" ht="45.75" customHeight="1">
      <c r="A112" s="251" t="s">
        <v>700</v>
      </c>
      <c r="B112" s="200">
        <v>3360</v>
      </c>
      <c r="C112" s="269"/>
      <c r="D112" s="269"/>
      <c r="E112" s="269"/>
      <c r="F112" s="269"/>
      <c r="G112" s="269">
        <f t="shared" si="8"/>
        <v>0</v>
      </c>
      <c r="H112" s="274" t="e">
        <f t="shared" si="9"/>
        <v>#DIV/0!</v>
      </c>
    </row>
    <row r="113" spans="1:9" ht="30.75" customHeight="1">
      <c r="A113" s="251" t="s">
        <v>50</v>
      </c>
      <c r="B113" s="200">
        <v>3365</v>
      </c>
      <c r="C113" s="269"/>
      <c r="D113" s="269"/>
      <c r="E113" s="269"/>
      <c r="F113" s="269"/>
      <c r="G113" s="269">
        <f t="shared" si="8"/>
        <v>0</v>
      </c>
      <c r="H113" s="274" t="e">
        <f t="shared" si="9"/>
        <v>#DIV/0!</v>
      </c>
    </row>
    <row r="114" spans="1:9" ht="30.75" customHeight="1">
      <c r="A114" s="259" t="s">
        <v>701</v>
      </c>
      <c r="B114" s="107">
        <v>3370</v>
      </c>
      <c r="C114" s="269">
        <f>SUM(C104,C109)</f>
        <v>49</v>
      </c>
      <c r="D114" s="269">
        <f>SUM(D104,D109)</f>
        <v>281.39999999999998</v>
      </c>
      <c r="E114" s="269">
        <f>SUM(E104,E109)</f>
        <v>50</v>
      </c>
      <c r="F114" s="269">
        <f>SUM(F104,F109)</f>
        <v>281.39999999999998</v>
      </c>
      <c r="G114" s="269">
        <f t="shared" si="8"/>
        <v>231.39999999999998</v>
      </c>
      <c r="H114" s="269">
        <f t="shared" si="9"/>
        <v>562.79999999999995</v>
      </c>
    </row>
    <row r="115" spans="1:9" ht="30.75" customHeight="1">
      <c r="A115" s="259" t="s">
        <v>702</v>
      </c>
      <c r="B115" s="107">
        <v>3400</v>
      </c>
      <c r="C115" s="269">
        <f>SUM(C89,C102,C114)</f>
        <v>110.7880000000041</v>
      </c>
      <c r="D115" s="269">
        <f>SUM(D89,D102,D114)</f>
        <v>9703.4999999999909</v>
      </c>
      <c r="E115" s="269">
        <f>SUM(E89,E102,E114)</f>
        <v>7292.4000000000233</v>
      </c>
      <c r="F115" s="269">
        <f>SUM(F89,F102,F114)</f>
        <v>9703.4999999999909</v>
      </c>
      <c r="G115" s="269">
        <f t="shared" si="8"/>
        <v>2411.0999999999676</v>
      </c>
      <c r="H115" s="269">
        <f t="shared" si="9"/>
        <v>133.06318907355546</v>
      </c>
    </row>
    <row r="116" spans="1:9" ht="30.75" customHeight="1">
      <c r="A116" s="251" t="s">
        <v>703</v>
      </c>
      <c r="B116" s="200">
        <v>3405</v>
      </c>
      <c r="C116" s="269">
        <v>368.9</v>
      </c>
      <c r="D116" s="269">
        <v>479.7</v>
      </c>
      <c r="E116" s="269">
        <v>490.8</v>
      </c>
      <c r="F116" s="269">
        <v>479.7</v>
      </c>
      <c r="G116" s="269">
        <f t="shared" si="8"/>
        <v>-11.100000000000023</v>
      </c>
      <c r="H116" s="269">
        <f t="shared" si="9"/>
        <v>97.738386308068456</v>
      </c>
    </row>
    <row r="117" spans="1:9" ht="30.75" customHeight="1">
      <c r="A117" s="259" t="s">
        <v>704</v>
      </c>
      <c r="B117" s="107">
        <v>3415</v>
      </c>
      <c r="C117" s="269">
        <f>SUM(C116,C115)</f>
        <v>479.68800000000408</v>
      </c>
      <c r="D117" s="269">
        <f>SUM(D116,D115)</f>
        <v>10183.199999999992</v>
      </c>
      <c r="E117" s="269">
        <f>SUM(E116,E115)</f>
        <v>7783.2000000000235</v>
      </c>
      <c r="F117" s="269">
        <f>SUM(F116,F115)</f>
        <v>10183.199999999992</v>
      </c>
      <c r="G117" s="269">
        <f t="shared" si="8"/>
        <v>2399.9999999999682</v>
      </c>
      <c r="H117" s="269">
        <f t="shared" si="9"/>
        <v>130.83564600678335</v>
      </c>
    </row>
    <row r="118" spans="1:9" ht="33" customHeight="1">
      <c r="A118" s="278" t="s">
        <v>101</v>
      </c>
      <c r="B118" s="278"/>
      <c r="C118" s="278"/>
      <c r="D118" s="278"/>
      <c r="E118" s="278"/>
      <c r="F118" s="278"/>
      <c r="G118" s="278"/>
      <c r="H118" s="278"/>
      <c r="I118" s="256"/>
    </row>
    <row r="119" spans="1:9" ht="27.75" customHeight="1">
      <c r="A119" s="248" t="s">
        <v>19</v>
      </c>
      <c r="B119" s="249">
        <v>4000</v>
      </c>
      <c r="C119" s="111">
        <f>SUM(C120:C126)</f>
        <v>-32031.100000000002</v>
      </c>
      <c r="D119" s="111">
        <f>SUM(D120:D126)</f>
        <v>-27336.6</v>
      </c>
      <c r="E119" s="111">
        <f>SUM(E120:E126)</f>
        <v>-21546.9</v>
      </c>
      <c r="F119" s="111">
        <f>SUM(F120:F126)</f>
        <v>-27336.6</v>
      </c>
      <c r="G119" s="111">
        <f>F119-E119</f>
        <v>-5789.6999999999971</v>
      </c>
      <c r="H119" s="111">
        <f>(F119/E119)*100</f>
        <v>126.87022263063363</v>
      </c>
    </row>
    <row r="120" spans="1:9" ht="37.5" customHeight="1">
      <c r="A120" s="251" t="s">
        <v>62</v>
      </c>
      <c r="B120" s="132">
        <v>4010</v>
      </c>
      <c r="C120" s="252" t="s">
        <v>26</v>
      </c>
      <c r="D120" s="252" t="s">
        <v>26</v>
      </c>
      <c r="E120" s="252" t="s">
        <v>26</v>
      </c>
      <c r="F120" s="252" t="s">
        <v>26</v>
      </c>
      <c r="G120" s="253" t="e">
        <f t="shared" ref="G120:G126" si="11">F120-E120</f>
        <v>#VALUE!</v>
      </c>
      <c r="H120" s="253" t="e">
        <f t="shared" ref="H120:H126" si="12">(F120/E120)*100</f>
        <v>#VALUE!</v>
      </c>
    </row>
    <row r="121" spans="1:9" ht="48.75" customHeight="1">
      <c r="A121" s="251" t="s">
        <v>128</v>
      </c>
      <c r="B121" s="132">
        <v>4020</v>
      </c>
      <c r="C121" s="252">
        <v>-30241.5</v>
      </c>
      <c r="D121" s="252">
        <v>-11533.8</v>
      </c>
      <c r="E121" s="252">
        <v>-6914.8</v>
      </c>
      <c r="F121" s="252">
        <f>D121</f>
        <v>-11533.8</v>
      </c>
      <c r="G121" s="252">
        <f t="shared" si="11"/>
        <v>-4618.9999999999991</v>
      </c>
      <c r="H121" s="253">
        <f t="shared" si="12"/>
        <v>166.79875050616067</v>
      </c>
    </row>
    <row r="122" spans="1:9" ht="48.75" customHeight="1">
      <c r="A122" s="251" t="s">
        <v>71</v>
      </c>
      <c r="B122" s="132">
        <v>4030</v>
      </c>
      <c r="C122" s="252">
        <v>-784.7</v>
      </c>
      <c r="D122" s="252">
        <v>-1133.2</v>
      </c>
      <c r="E122" s="252"/>
      <c r="F122" s="252">
        <f>D122</f>
        <v>-1133.2</v>
      </c>
      <c r="G122" s="252">
        <f t="shared" si="11"/>
        <v>-1133.2</v>
      </c>
      <c r="H122" s="253" t="e">
        <f t="shared" si="12"/>
        <v>#DIV/0!</v>
      </c>
    </row>
    <row r="123" spans="1:9" ht="49.5" customHeight="1">
      <c r="A123" s="251" t="s">
        <v>129</v>
      </c>
      <c r="B123" s="132">
        <v>4040</v>
      </c>
      <c r="C123" s="252" t="s">
        <v>26</v>
      </c>
      <c r="D123" s="252" t="s">
        <v>26</v>
      </c>
      <c r="E123" s="252" t="s">
        <v>26</v>
      </c>
      <c r="F123" s="252" t="s">
        <v>26</v>
      </c>
      <c r="G123" s="253" t="e">
        <f t="shared" si="11"/>
        <v>#VALUE!</v>
      </c>
      <c r="H123" s="253" t="e">
        <f t="shared" si="12"/>
        <v>#VALUE!</v>
      </c>
    </row>
    <row r="124" spans="1:9" ht="73.5" customHeight="1">
      <c r="A124" s="251" t="s">
        <v>63</v>
      </c>
      <c r="B124" s="132">
        <v>4050</v>
      </c>
      <c r="C124" s="252" t="s">
        <v>26</v>
      </c>
      <c r="D124" s="252" t="s">
        <v>26</v>
      </c>
      <c r="E124" s="252" t="s">
        <v>26</v>
      </c>
      <c r="F124" s="252" t="s">
        <v>26</v>
      </c>
      <c r="G124" s="253" t="e">
        <f t="shared" si="11"/>
        <v>#VALUE!</v>
      </c>
      <c r="H124" s="253" t="e">
        <f t="shared" si="12"/>
        <v>#VALUE!</v>
      </c>
    </row>
    <row r="125" spans="1:9" ht="36.75" customHeight="1">
      <c r="A125" s="251" t="s">
        <v>64</v>
      </c>
      <c r="B125" s="132">
        <v>4060</v>
      </c>
      <c r="C125" s="252">
        <v>-1004.9</v>
      </c>
      <c r="D125" s="252">
        <v>-14669.6</v>
      </c>
      <c r="E125" s="252">
        <v>-14632.1</v>
      </c>
      <c r="F125" s="252">
        <f>D125</f>
        <v>-14669.6</v>
      </c>
      <c r="G125" s="253">
        <f t="shared" si="11"/>
        <v>-37.5</v>
      </c>
      <c r="H125" s="253">
        <f t="shared" si="12"/>
        <v>100.25628583730291</v>
      </c>
    </row>
    <row r="126" spans="1:9" ht="39.75" customHeight="1">
      <c r="A126" s="251" t="s">
        <v>50</v>
      </c>
      <c r="B126" s="132">
        <v>4070</v>
      </c>
      <c r="C126" s="252" t="s">
        <v>26</v>
      </c>
      <c r="D126" s="252" t="s">
        <v>26</v>
      </c>
      <c r="E126" s="252" t="s">
        <v>26</v>
      </c>
      <c r="F126" s="252" t="s">
        <v>26</v>
      </c>
      <c r="G126" s="253" t="e">
        <f t="shared" si="11"/>
        <v>#VALUE!</v>
      </c>
      <c r="H126" s="253" t="e">
        <f t="shared" si="12"/>
        <v>#VALUE!</v>
      </c>
    </row>
    <row r="127" spans="1:9" ht="36.75" customHeight="1">
      <c r="A127" s="261" t="s">
        <v>102</v>
      </c>
      <c r="B127" s="261"/>
      <c r="C127" s="261"/>
      <c r="D127" s="261"/>
      <c r="E127" s="261"/>
      <c r="F127" s="261"/>
      <c r="G127" s="261"/>
      <c r="H127" s="261"/>
    </row>
    <row r="128" spans="1:9" ht="63" customHeight="1">
      <c r="A128" s="279"/>
      <c r="B128" s="279"/>
      <c r="C128" s="224" t="s">
        <v>122</v>
      </c>
      <c r="D128" s="224"/>
      <c r="E128" s="245" t="s">
        <v>500</v>
      </c>
      <c r="F128" s="245"/>
      <c r="G128" s="245"/>
      <c r="H128" s="245"/>
    </row>
    <row r="129" spans="1:18" ht="45" customHeight="1">
      <c r="A129" s="279"/>
      <c r="B129" s="279"/>
      <c r="C129" s="200" t="s">
        <v>593</v>
      </c>
      <c r="D129" s="200" t="s">
        <v>592</v>
      </c>
      <c r="E129" s="246" t="s">
        <v>108</v>
      </c>
      <c r="F129" s="246" t="s">
        <v>109</v>
      </c>
      <c r="G129" s="246" t="s">
        <v>110</v>
      </c>
      <c r="H129" s="246" t="s">
        <v>111</v>
      </c>
    </row>
    <row r="130" spans="1:18" s="102" customFormat="1" ht="86.25" customHeight="1">
      <c r="A130" s="264" t="s">
        <v>130</v>
      </c>
      <c r="B130" s="280" t="s">
        <v>30</v>
      </c>
      <c r="C130" s="281">
        <f>SUM(C131:C133)</f>
        <v>473</v>
      </c>
      <c r="D130" s="281">
        <f>SUM(D131:D133)</f>
        <v>513</v>
      </c>
      <c r="E130" s="281">
        <f>SUM(E131:E133)</f>
        <v>568</v>
      </c>
      <c r="F130" s="281">
        <f>SUM(F131:F133)</f>
        <v>513</v>
      </c>
      <c r="G130" s="282" t="s">
        <v>131</v>
      </c>
      <c r="H130" s="260" t="s">
        <v>131</v>
      </c>
      <c r="J130" s="283"/>
    </row>
    <row r="131" spans="1:18" ht="27.75" customHeight="1">
      <c r="A131" s="254" t="s">
        <v>21</v>
      </c>
      <c r="B131" s="132" t="s">
        <v>31</v>
      </c>
      <c r="C131" s="284">
        <v>1</v>
      </c>
      <c r="D131" s="284">
        <v>1</v>
      </c>
      <c r="E131" s="284">
        <v>1</v>
      </c>
      <c r="F131" s="284">
        <f>D131</f>
        <v>1</v>
      </c>
      <c r="G131" s="285" t="s">
        <v>131</v>
      </c>
      <c r="H131" s="258" t="s">
        <v>131</v>
      </c>
      <c r="K131" s="250"/>
      <c r="L131" s="250"/>
    </row>
    <row r="132" spans="1:18" ht="27.75" customHeight="1">
      <c r="A132" s="254" t="s">
        <v>24</v>
      </c>
      <c r="B132" s="132" t="s">
        <v>32</v>
      </c>
      <c r="C132" s="284">
        <v>50</v>
      </c>
      <c r="D132" s="284">
        <v>42</v>
      </c>
      <c r="E132" s="284">
        <v>51</v>
      </c>
      <c r="F132" s="284">
        <f>D132</f>
        <v>42</v>
      </c>
      <c r="G132" s="285" t="s">
        <v>131</v>
      </c>
      <c r="H132" s="258" t="s">
        <v>131</v>
      </c>
      <c r="J132" s="250"/>
      <c r="K132" s="250"/>
      <c r="L132" s="286"/>
    </row>
    <row r="133" spans="1:18" ht="27.75" customHeight="1">
      <c r="A133" s="254" t="s">
        <v>22</v>
      </c>
      <c r="B133" s="132" t="s">
        <v>33</v>
      </c>
      <c r="C133" s="284">
        <v>422</v>
      </c>
      <c r="D133" s="284">
        <v>470</v>
      </c>
      <c r="E133" s="284">
        <v>516</v>
      </c>
      <c r="F133" s="284">
        <v>470</v>
      </c>
      <c r="G133" s="285" t="s">
        <v>131</v>
      </c>
      <c r="H133" s="258" t="s">
        <v>131</v>
      </c>
      <c r="J133" s="250"/>
      <c r="K133" s="250"/>
      <c r="L133" s="286"/>
      <c r="M133" s="287"/>
      <c r="N133" s="288"/>
      <c r="O133" s="289"/>
      <c r="P133" s="289"/>
      <c r="Q133" s="289"/>
      <c r="R133" s="289"/>
    </row>
    <row r="134" spans="1:18" ht="27.75" customHeight="1">
      <c r="A134" s="248" t="s">
        <v>72</v>
      </c>
      <c r="B134" s="249" t="s">
        <v>34</v>
      </c>
      <c r="C134" s="290">
        <f>SUM(C135:C137)</f>
        <v>64938.399999999994</v>
      </c>
      <c r="D134" s="290">
        <f>SUM(D135:D137)</f>
        <v>76382.899999999994</v>
      </c>
      <c r="E134" s="290">
        <f>SUM(E135:E137)</f>
        <v>92430.8</v>
      </c>
      <c r="F134" s="290">
        <f>SUM(F135:F137)</f>
        <v>76382.899999999994</v>
      </c>
      <c r="G134" s="260" t="s">
        <v>131</v>
      </c>
      <c r="H134" s="260" t="s">
        <v>131</v>
      </c>
      <c r="I134" s="250"/>
      <c r="J134" s="250"/>
      <c r="K134" s="250"/>
      <c r="M134" s="291"/>
      <c r="N134" s="292"/>
      <c r="O134" s="293"/>
      <c r="P134" s="293"/>
      <c r="Q134" s="293"/>
      <c r="R134" s="293"/>
    </row>
    <row r="135" spans="1:18" ht="27.75" customHeight="1">
      <c r="A135" s="254" t="s">
        <v>21</v>
      </c>
      <c r="B135" s="132">
        <v>8011</v>
      </c>
      <c r="C135" s="294">
        <v>528.9</v>
      </c>
      <c r="D135" s="295">
        <v>613</v>
      </c>
      <c r="E135" s="296">
        <v>414</v>
      </c>
      <c r="F135" s="295">
        <v>613</v>
      </c>
      <c r="G135" s="258" t="s">
        <v>131</v>
      </c>
      <c r="H135" s="258" t="s">
        <v>131</v>
      </c>
      <c r="J135" s="250"/>
      <c r="K135" s="250"/>
      <c r="M135" s="291"/>
      <c r="N135" s="292"/>
      <c r="O135" s="293"/>
      <c r="P135" s="293"/>
      <c r="Q135" s="293"/>
      <c r="R135" s="293"/>
    </row>
    <row r="136" spans="1:18" ht="27.75" customHeight="1">
      <c r="A136" s="254" t="s">
        <v>24</v>
      </c>
      <c r="B136" s="132">
        <v>8012</v>
      </c>
      <c r="C136" s="294">
        <v>7686.8</v>
      </c>
      <c r="D136" s="295">
        <v>6189.2</v>
      </c>
      <c r="E136" s="296">
        <v>7686.8</v>
      </c>
      <c r="F136" s="295">
        <v>6189.2</v>
      </c>
      <c r="G136" s="258" t="s">
        <v>131</v>
      </c>
      <c r="H136" s="258" t="s">
        <v>131</v>
      </c>
      <c r="J136" s="250"/>
      <c r="K136" s="250"/>
      <c r="M136" s="291"/>
      <c r="N136" s="292"/>
      <c r="O136" s="293"/>
      <c r="P136" s="293"/>
      <c r="Q136" s="293"/>
      <c r="R136" s="293"/>
    </row>
    <row r="137" spans="1:18" ht="27.75" customHeight="1">
      <c r="A137" s="254" t="s">
        <v>22</v>
      </c>
      <c r="B137" s="132">
        <v>8013</v>
      </c>
      <c r="C137" s="294">
        <v>56722.7</v>
      </c>
      <c r="D137" s="295">
        <v>69580.7</v>
      </c>
      <c r="E137" s="296">
        <v>84330</v>
      </c>
      <c r="F137" s="295">
        <v>69580.7</v>
      </c>
      <c r="G137" s="258" t="s">
        <v>131</v>
      </c>
      <c r="H137" s="258" t="s">
        <v>131</v>
      </c>
      <c r="J137" s="250"/>
      <c r="K137" s="250"/>
      <c r="M137" s="297"/>
      <c r="N137" s="298"/>
      <c r="O137" s="299"/>
      <c r="P137" s="299"/>
      <c r="Q137" s="299"/>
      <c r="R137" s="299"/>
    </row>
    <row r="138" spans="1:18" ht="27.75" customHeight="1">
      <c r="A138" s="248" t="s">
        <v>2</v>
      </c>
      <c r="B138" s="249">
        <v>8020</v>
      </c>
      <c r="C138" s="290">
        <f>C46</f>
        <v>64938.400000000001</v>
      </c>
      <c r="D138" s="290">
        <f>D46</f>
        <v>76382.899999999994</v>
      </c>
      <c r="E138" s="300">
        <f>E46</f>
        <v>92430.799999999988</v>
      </c>
      <c r="F138" s="290">
        <f>F46</f>
        <v>76382.899999999994</v>
      </c>
      <c r="G138" s="260" t="s">
        <v>131</v>
      </c>
      <c r="H138" s="260" t="s">
        <v>131</v>
      </c>
      <c r="I138" s="256"/>
      <c r="J138" s="250"/>
      <c r="K138" s="250"/>
      <c r="M138" s="291"/>
      <c r="N138" s="292"/>
      <c r="O138" s="301"/>
      <c r="P138" s="301"/>
      <c r="Q138" s="301"/>
      <c r="R138" s="301"/>
    </row>
    <row r="139" spans="1:18" ht="27.75" customHeight="1">
      <c r="A139" s="254" t="s">
        <v>21</v>
      </c>
      <c r="B139" s="132">
        <v>8021</v>
      </c>
      <c r="C139" s="294">
        <v>528.9</v>
      </c>
      <c r="D139" s="294">
        <f>D135</f>
        <v>613</v>
      </c>
      <c r="E139" s="296">
        <v>414</v>
      </c>
      <c r="F139" s="295">
        <f>D139</f>
        <v>613</v>
      </c>
      <c r="G139" s="258" t="s">
        <v>131</v>
      </c>
      <c r="H139" s="258" t="s">
        <v>131</v>
      </c>
      <c r="I139" s="256"/>
      <c r="J139" s="250"/>
      <c r="K139" s="250"/>
      <c r="M139" s="291"/>
      <c r="N139" s="292"/>
      <c r="O139" s="301"/>
      <c r="P139" s="301"/>
      <c r="Q139" s="301"/>
      <c r="R139" s="301"/>
    </row>
    <row r="140" spans="1:18" ht="27.75" customHeight="1">
      <c r="A140" s="254" t="s">
        <v>24</v>
      </c>
      <c r="B140" s="132">
        <v>8022</v>
      </c>
      <c r="C140" s="294">
        <f>C136</f>
        <v>7686.8</v>
      </c>
      <c r="D140" s="294">
        <f>D136</f>
        <v>6189.2</v>
      </c>
      <c r="E140" s="296">
        <v>7686.8</v>
      </c>
      <c r="F140" s="295">
        <f>D140</f>
        <v>6189.2</v>
      </c>
      <c r="G140" s="258" t="s">
        <v>131</v>
      </c>
      <c r="H140" s="258" t="s">
        <v>131</v>
      </c>
      <c r="J140" s="250"/>
      <c r="K140" s="286"/>
      <c r="M140" s="291"/>
      <c r="N140" s="292"/>
      <c r="O140" s="301"/>
      <c r="P140" s="301"/>
      <c r="Q140" s="301"/>
      <c r="R140" s="301"/>
    </row>
    <row r="141" spans="1:18" ht="27.75" customHeight="1">
      <c r="A141" s="254" t="s">
        <v>22</v>
      </c>
      <c r="B141" s="132">
        <v>8023</v>
      </c>
      <c r="C141" s="294">
        <v>56722.7</v>
      </c>
      <c r="D141" s="294">
        <f>D137</f>
        <v>69580.7</v>
      </c>
      <c r="E141" s="296">
        <v>84330</v>
      </c>
      <c r="F141" s="295">
        <f>D141</f>
        <v>69580.7</v>
      </c>
      <c r="G141" s="258" t="s">
        <v>131</v>
      </c>
      <c r="H141" s="258" t="s">
        <v>131</v>
      </c>
      <c r="J141" s="250"/>
      <c r="M141" s="297"/>
      <c r="N141" s="298"/>
      <c r="O141" s="299"/>
      <c r="P141" s="299"/>
      <c r="Q141" s="299"/>
      <c r="R141" s="299"/>
    </row>
    <row r="142" spans="1:18" s="102" customFormat="1" ht="66" customHeight="1">
      <c r="A142" s="264" t="s">
        <v>49</v>
      </c>
      <c r="B142" s="280" t="s">
        <v>73</v>
      </c>
      <c r="C142" s="281">
        <f t="shared" ref="C142:F145" si="13">(C138/C130)/12*1000</f>
        <v>11440.873854827343</v>
      </c>
      <c r="D142" s="281">
        <f>(D138/D130)/12*1000</f>
        <v>12407.878492527616</v>
      </c>
      <c r="E142" s="281">
        <f t="shared" si="13"/>
        <v>13560.856807511735</v>
      </c>
      <c r="F142" s="281">
        <f t="shared" si="13"/>
        <v>12407.878492527616</v>
      </c>
      <c r="G142" s="282" t="s">
        <v>131</v>
      </c>
      <c r="H142" s="260" t="s">
        <v>131</v>
      </c>
      <c r="I142" s="302"/>
      <c r="M142" s="291"/>
      <c r="N142" s="292"/>
      <c r="O142" s="301"/>
      <c r="P142" s="301"/>
      <c r="Q142" s="301"/>
      <c r="R142" s="301"/>
    </row>
    <row r="143" spans="1:18" ht="27.75" customHeight="1">
      <c r="A143" s="254" t="s">
        <v>21</v>
      </c>
      <c r="B143" s="132">
        <v>8031</v>
      </c>
      <c r="C143" s="284">
        <f t="shared" si="13"/>
        <v>44074.999999999993</v>
      </c>
      <c r="D143" s="284">
        <f t="shared" si="13"/>
        <v>51083.333333333336</v>
      </c>
      <c r="E143" s="284">
        <f t="shared" si="13"/>
        <v>34500</v>
      </c>
      <c r="F143" s="284">
        <f t="shared" si="13"/>
        <v>51083.333333333336</v>
      </c>
      <c r="G143" s="285" t="s">
        <v>131</v>
      </c>
      <c r="H143" s="258" t="s">
        <v>131</v>
      </c>
      <c r="M143" s="291"/>
      <c r="N143" s="292"/>
      <c r="O143" s="301"/>
      <c r="P143" s="301"/>
      <c r="Q143" s="301"/>
      <c r="R143" s="301"/>
    </row>
    <row r="144" spans="1:18" ht="27.75" customHeight="1">
      <c r="A144" s="254" t="s">
        <v>24</v>
      </c>
      <c r="B144" s="132">
        <v>8032</v>
      </c>
      <c r="C144" s="284">
        <f t="shared" si="13"/>
        <v>12811.333333333332</v>
      </c>
      <c r="D144" s="284">
        <f t="shared" si="13"/>
        <v>12280.15873015873</v>
      </c>
      <c r="E144" s="284">
        <f t="shared" si="13"/>
        <v>12560.130718954248</v>
      </c>
      <c r="F144" s="284">
        <f t="shared" si="13"/>
        <v>12280.15873015873</v>
      </c>
      <c r="G144" s="285" t="s">
        <v>131</v>
      </c>
      <c r="H144" s="258" t="s">
        <v>131</v>
      </c>
      <c r="M144" s="291"/>
      <c r="N144" s="292"/>
      <c r="O144" s="301"/>
      <c r="P144" s="301"/>
      <c r="Q144" s="301"/>
      <c r="R144" s="301"/>
    </row>
    <row r="145" spans="1:18" ht="27.75" customHeight="1">
      <c r="A145" s="254" t="s">
        <v>22</v>
      </c>
      <c r="B145" s="132">
        <v>8033</v>
      </c>
      <c r="C145" s="284">
        <f t="shared" si="13"/>
        <v>11201.165086887835</v>
      </c>
      <c r="D145" s="284">
        <f t="shared" si="13"/>
        <v>12337.003546099289</v>
      </c>
      <c r="E145" s="284">
        <f t="shared" si="13"/>
        <v>13619.186046511628</v>
      </c>
      <c r="F145" s="284">
        <f t="shared" si="13"/>
        <v>12337.003546099289</v>
      </c>
      <c r="G145" s="285" t="s">
        <v>131</v>
      </c>
      <c r="H145" s="258" t="s">
        <v>131</v>
      </c>
      <c r="M145" s="287"/>
      <c r="N145" s="288"/>
      <c r="O145" s="289"/>
      <c r="P145" s="289"/>
      <c r="Q145" s="289"/>
      <c r="R145" s="289"/>
    </row>
    <row r="146" spans="1:18" s="102" customFormat="1">
      <c r="A146" s="303"/>
      <c r="C146" s="304"/>
      <c r="D146" s="305"/>
      <c r="E146" s="306"/>
      <c r="F146" s="306"/>
      <c r="G146" s="306"/>
      <c r="H146" s="306"/>
      <c r="M146" s="291"/>
      <c r="N146" s="292"/>
      <c r="O146" s="293"/>
      <c r="P146" s="293"/>
      <c r="Q146" s="293"/>
      <c r="R146" s="293"/>
    </row>
    <row r="147" spans="1:18" s="102" customFormat="1">
      <c r="A147" s="303"/>
      <c r="C147" s="304"/>
      <c r="D147" s="305"/>
      <c r="E147" s="306"/>
      <c r="F147" s="306"/>
      <c r="G147" s="306"/>
      <c r="H147" s="306"/>
      <c r="M147" s="291"/>
      <c r="N147" s="292"/>
      <c r="O147" s="293"/>
      <c r="P147" s="293"/>
      <c r="Q147" s="293"/>
      <c r="R147" s="293"/>
    </row>
    <row r="148" spans="1:18" s="102" customFormat="1" ht="28.5" customHeight="1">
      <c r="A148" s="194" t="s">
        <v>246</v>
      </c>
      <c r="B148" s="307"/>
      <c r="C148" s="308"/>
      <c r="D148" s="309"/>
      <c r="E148" s="310"/>
      <c r="F148" s="310"/>
      <c r="G148" s="233" t="s">
        <v>204</v>
      </c>
      <c r="H148" s="233"/>
      <c r="I148" s="33"/>
      <c r="M148" s="291"/>
      <c r="N148" s="292"/>
      <c r="O148" s="293"/>
      <c r="P148" s="293"/>
      <c r="Q148" s="293"/>
      <c r="R148" s="293"/>
    </row>
    <row r="149" spans="1:18" s="102" customFormat="1">
      <c r="A149" s="102" t="s">
        <v>10</v>
      </c>
      <c r="B149" s="131"/>
      <c r="C149" s="311" t="s">
        <v>11</v>
      </c>
      <c r="D149" s="311"/>
      <c r="E149" s="243"/>
      <c r="F149" s="243"/>
      <c r="G149" s="312" t="s">
        <v>16</v>
      </c>
      <c r="H149" s="312"/>
    </row>
    <row r="150" spans="1:18" s="102" customFormat="1">
      <c r="A150" s="313"/>
      <c r="E150" s="131"/>
      <c r="F150" s="131"/>
      <c r="G150" s="131"/>
      <c r="H150" s="131"/>
    </row>
    <row r="151" spans="1:18" s="102" customFormat="1">
      <c r="A151" s="313"/>
      <c r="E151" s="131"/>
      <c r="F151" s="131"/>
      <c r="G151" s="131"/>
      <c r="H151" s="131"/>
    </row>
    <row r="152" spans="1:18" s="102" customFormat="1">
      <c r="A152" s="313"/>
      <c r="E152" s="131"/>
      <c r="F152" s="131"/>
      <c r="G152" s="131"/>
      <c r="H152" s="131"/>
    </row>
    <row r="153" spans="1:18" s="102" customFormat="1">
      <c r="A153" s="313"/>
      <c r="E153" s="131"/>
      <c r="F153" s="131"/>
      <c r="G153" s="131"/>
      <c r="H153" s="131"/>
    </row>
    <row r="154" spans="1:18" s="102" customFormat="1">
      <c r="A154" s="313"/>
      <c r="E154" s="131"/>
      <c r="F154" s="131"/>
      <c r="G154" s="131"/>
      <c r="H154" s="131"/>
    </row>
    <row r="155" spans="1:18" s="102" customFormat="1">
      <c r="A155" s="313"/>
      <c r="E155" s="131"/>
      <c r="F155" s="131"/>
      <c r="G155" s="131"/>
      <c r="H155" s="131"/>
    </row>
    <row r="156" spans="1:18" s="102" customFormat="1">
      <c r="A156" s="313"/>
      <c r="E156" s="131"/>
      <c r="F156" s="131"/>
      <c r="G156" s="131"/>
      <c r="H156" s="131"/>
    </row>
    <row r="157" spans="1:18" s="102" customFormat="1">
      <c r="A157" s="313"/>
      <c r="E157" s="131"/>
      <c r="F157" s="131"/>
      <c r="G157" s="131"/>
      <c r="H157" s="131"/>
    </row>
    <row r="158" spans="1:18" s="102" customFormat="1">
      <c r="A158" s="313"/>
      <c r="E158" s="131"/>
      <c r="F158" s="131"/>
      <c r="G158" s="131"/>
      <c r="H158" s="131"/>
    </row>
    <row r="159" spans="1:18" s="102" customFormat="1">
      <c r="A159" s="313"/>
      <c r="E159" s="131"/>
      <c r="F159" s="131"/>
      <c r="G159" s="131"/>
      <c r="H159" s="131"/>
    </row>
    <row r="160" spans="1:18" s="102" customFormat="1">
      <c r="A160" s="313"/>
      <c r="E160" s="131"/>
      <c r="F160" s="131"/>
      <c r="G160" s="131"/>
      <c r="H160" s="131"/>
    </row>
    <row r="161" spans="1:8" s="102" customFormat="1">
      <c r="A161" s="313"/>
      <c r="E161" s="131"/>
      <c r="F161" s="131"/>
      <c r="G161" s="131"/>
      <c r="H161" s="131"/>
    </row>
    <row r="162" spans="1:8" s="102" customFormat="1">
      <c r="A162" s="313"/>
      <c r="E162" s="131"/>
      <c r="F162" s="131"/>
      <c r="G162" s="131"/>
      <c r="H162" s="131"/>
    </row>
    <row r="163" spans="1:8" s="102" customFormat="1">
      <c r="A163" s="313"/>
      <c r="E163" s="131"/>
      <c r="F163" s="131"/>
      <c r="G163" s="131"/>
      <c r="H163" s="131"/>
    </row>
    <row r="164" spans="1:8" s="102" customFormat="1">
      <c r="A164" s="313"/>
      <c r="E164" s="131"/>
      <c r="F164" s="131"/>
      <c r="G164" s="131"/>
      <c r="H164" s="131"/>
    </row>
    <row r="165" spans="1:8" s="102" customFormat="1">
      <c r="A165" s="313"/>
      <c r="E165" s="131"/>
      <c r="F165" s="131"/>
      <c r="G165" s="131"/>
      <c r="H165" s="131"/>
    </row>
    <row r="166" spans="1:8" s="102" customFormat="1">
      <c r="A166" s="313"/>
      <c r="E166" s="131"/>
      <c r="F166" s="131"/>
      <c r="G166" s="131"/>
      <c r="H166" s="131"/>
    </row>
    <row r="167" spans="1:8" s="102" customFormat="1">
      <c r="A167" s="313"/>
      <c r="E167" s="131"/>
      <c r="F167" s="131"/>
      <c r="G167" s="131"/>
      <c r="H167" s="131"/>
    </row>
    <row r="168" spans="1:8" s="102" customFormat="1">
      <c r="A168" s="313"/>
      <c r="E168" s="131"/>
      <c r="F168" s="131"/>
      <c r="G168" s="131"/>
      <c r="H168" s="131"/>
    </row>
    <row r="169" spans="1:8" s="102" customFormat="1">
      <c r="A169" s="313"/>
      <c r="E169" s="131"/>
      <c r="F169" s="131"/>
      <c r="G169" s="131"/>
      <c r="H169" s="131"/>
    </row>
    <row r="170" spans="1:8" s="102" customFormat="1">
      <c r="A170" s="313"/>
      <c r="E170" s="131"/>
      <c r="F170" s="131"/>
      <c r="G170" s="131"/>
      <c r="H170" s="131"/>
    </row>
    <row r="171" spans="1:8" s="102" customFormat="1">
      <c r="A171" s="313"/>
      <c r="E171" s="131"/>
      <c r="F171" s="131"/>
      <c r="G171" s="131"/>
      <c r="H171" s="131"/>
    </row>
    <row r="172" spans="1:8" s="102" customFormat="1">
      <c r="A172" s="313"/>
      <c r="E172" s="131"/>
      <c r="F172" s="131"/>
      <c r="G172" s="131"/>
      <c r="H172" s="131"/>
    </row>
    <row r="173" spans="1:8" s="102" customFormat="1">
      <c r="A173" s="313"/>
      <c r="E173" s="131"/>
      <c r="F173" s="131"/>
      <c r="G173" s="131"/>
      <c r="H173" s="131"/>
    </row>
    <row r="174" spans="1:8" s="102" customFormat="1">
      <c r="A174" s="313"/>
      <c r="E174" s="131"/>
      <c r="F174" s="131"/>
      <c r="G174" s="131"/>
      <c r="H174" s="131"/>
    </row>
    <row r="175" spans="1:8" s="102" customFormat="1">
      <c r="A175" s="313"/>
      <c r="E175" s="131"/>
      <c r="F175" s="131"/>
      <c r="G175" s="131"/>
      <c r="H175" s="131"/>
    </row>
    <row r="176" spans="1:8" s="102" customFormat="1">
      <c r="A176" s="313"/>
      <c r="E176" s="131"/>
      <c r="F176" s="131"/>
      <c r="G176" s="131"/>
      <c r="H176" s="131"/>
    </row>
    <row r="177" spans="1:8" s="102" customFormat="1">
      <c r="A177" s="313"/>
      <c r="E177" s="131"/>
      <c r="F177" s="131"/>
      <c r="G177" s="131"/>
      <c r="H177" s="131"/>
    </row>
    <row r="178" spans="1:8" s="102" customFormat="1">
      <c r="A178" s="313"/>
      <c r="E178" s="131"/>
      <c r="F178" s="131"/>
      <c r="G178" s="131"/>
      <c r="H178" s="131"/>
    </row>
    <row r="179" spans="1:8" s="102" customFormat="1">
      <c r="A179" s="313"/>
      <c r="E179" s="131"/>
      <c r="F179" s="131"/>
      <c r="G179" s="131"/>
      <c r="H179" s="131"/>
    </row>
    <row r="180" spans="1:8" s="102" customFormat="1">
      <c r="A180" s="313"/>
      <c r="E180" s="131"/>
      <c r="F180" s="131"/>
      <c r="G180" s="131"/>
      <c r="H180" s="131"/>
    </row>
    <row r="181" spans="1:8" s="102" customFormat="1">
      <c r="A181" s="313"/>
      <c r="E181" s="131"/>
      <c r="F181" s="131"/>
      <c r="G181" s="131"/>
      <c r="H181" s="131"/>
    </row>
    <row r="182" spans="1:8" s="102" customFormat="1">
      <c r="A182" s="313"/>
      <c r="E182" s="131"/>
      <c r="F182" s="131"/>
      <c r="G182" s="131"/>
      <c r="H182" s="131"/>
    </row>
    <row r="183" spans="1:8" s="102" customFormat="1">
      <c r="A183" s="313"/>
      <c r="E183" s="131"/>
      <c r="F183" s="131"/>
      <c r="G183" s="131"/>
      <c r="H183" s="131"/>
    </row>
    <row r="184" spans="1:8" s="102" customFormat="1">
      <c r="A184" s="313"/>
      <c r="E184" s="131"/>
      <c r="F184" s="131"/>
      <c r="G184" s="131"/>
      <c r="H184" s="131"/>
    </row>
    <row r="185" spans="1:8" s="102" customFormat="1">
      <c r="A185" s="313"/>
      <c r="E185" s="131"/>
      <c r="F185" s="131"/>
      <c r="G185" s="131"/>
      <c r="H185" s="131"/>
    </row>
    <row r="186" spans="1:8" s="102" customFormat="1">
      <c r="A186" s="313"/>
      <c r="E186" s="131"/>
      <c r="F186" s="131"/>
      <c r="G186" s="131"/>
      <c r="H186" s="131"/>
    </row>
    <row r="187" spans="1:8" s="102" customFormat="1">
      <c r="A187" s="313"/>
      <c r="E187" s="131"/>
      <c r="F187" s="131"/>
      <c r="G187" s="131"/>
      <c r="H187" s="131"/>
    </row>
    <row r="188" spans="1:8" s="102" customFormat="1">
      <c r="A188" s="313"/>
      <c r="E188" s="131"/>
      <c r="F188" s="131"/>
      <c r="G188" s="131"/>
      <c r="H188" s="131"/>
    </row>
    <row r="189" spans="1:8" s="102" customFormat="1">
      <c r="A189" s="313"/>
      <c r="E189" s="131"/>
      <c r="F189" s="131"/>
      <c r="G189" s="131"/>
      <c r="H189" s="131"/>
    </row>
    <row r="190" spans="1:8" s="102" customFormat="1">
      <c r="A190" s="313"/>
      <c r="E190" s="131"/>
      <c r="F190" s="131"/>
      <c r="G190" s="131"/>
      <c r="H190" s="131"/>
    </row>
    <row r="191" spans="1:8" s="102" customFormat="1">
      <c r="A191" s="313"/>
      <c r="E191" s="131"/>
      <c r="F191" s="131"/>
      <c r="G191" s="131"/>
      <c r="H191" s="131"/>
    </row>
    <row r="192" spans="1:8" s="102" customFormat="1">
      <c r="A192" s="313"/>
      <c r="E192" s="131"/>
      <c r="F192" s="131"/>
      <c r="G192" s="131"/>
      <c r="H192" s="131"/>
    </row>
    <row r="193" spans="1:8" s="102" customFormat="1">
      <c r="A193" s="313"/>
      <c r="E193" s="131"/>
      <c r="F193" s="131"/>
      <c r="G193" s="131"/>
      <c r="H193" s="131"/>
    </row>
    <row r="194" spans="1:8" s="102" customFormat="1">
      <c r="A194" s="313"/>
      <c r="E194" s="131"/>
      <c r="F194" s="131"/>
      <c r="G194" s="131"/>
      <c r="H194" s="131"/>
    </row>
    <row r="195" spans="1:8" s="102" customFormat="1">
      <c r="A195" s="313"/>
      <c r="E195" s="131"/>
      <c r="F195" s="131"/>
      <c r="G195" s="131"/>
      <c r="H195" s="131"/>
    </row>
    <row r="196" spans="1:8" s="102" customFormat="1">
      <c r="A196" s="313"/>
      <c r="E196" s="131"/>
      <c r="F196" s="131"/>
      <c r="G196" s="131"/>
      <c r="H196" s="131"/>
    </row>
    <row r="197" spans="1:8" s="102" customFormat="1">
      <c r="A197" s="313"/>
      <c r="E197" s="131"/>
      <c r="F197" s="131"/>
      <c r="G197" s="131"/>
      <c r="H197" s="131"/>
    </row>
    <row r="198" spans="1:8" s="102" customFormat="1">
      <c r="A198" s="313"/>
      <c r="E198" s="131"/>
      <c r="F198" s="131"/>
      <c r="G198" s="131"/>
      <c r="H198" s="131"/>
    </row>
    <row r="199" spans="1:8" s="102" customFormat="1">
      <c r="A199" s="313"/>
      <c r="E199" s="131"/>
      <c r="F199" s="131"/>
      <c r="G199" s="131"/>
      <c r="H199" s="131"/>
    </row>
    <row r="200" spans="1:8" s="102" customFormat="1">
      <c r="A200" s="313"/>
      <c r="E200" s="131"/>
      <c r="F200" s="131"/>
      <c r="G200" s="131"/>
      <c r="H200" s="131"/>
    </row>
    <row r="201" spans="1:8" s="102" customFormat="1">
      <c r="A201" s="313"/>
      <c r="E201" s="131"/>
      <c r="F201" s="131"/>
      <c r="G201" s="131"/>
      <c r="H201" s="131"/>
    </row>
    <row r="202" spans="1:8" s="102" customFormat="1">
      <c r="A202" s="313"/>
      <c r="E202" s="131"/>
      <c r="F202" s="131"/>
      <c r="G202" s="131"/>
      <c r="H202" s="131"/>
    </row>
    <row r="203" spans="1:8" s="102" customFormat="1">
      <c r="A203" s="313"/>
      <c r="E203" s="131"/>
      <c r="F203" s="131"/>
      <c r="G203" s="131"/>
      <c r="H203" s="131"/>
    </row>
    <row r="204" spans="1:8" s="102" customFormat="1">
      <c r="A204" s="313"/>
      <c r="E204" s="131"/>
      <c r="F204" s="131"/>
      <c r="G204" s="131"/>
      <c r="H204" s="131"/>
    </row>
    <row r="205" spans="1:8" s="102" customFormat="1">
      <c r="A205" s="313"/>
      <c r="E205" s="131"/>
      <c r="F205" s="131"/>
      <c r="G205" s="131"/>
      <c r="H205" s="131"/>
    </row>
    <row r="206" spans="1:8" s="102" customFormat="1">
      <c r="A206" s="313"/>
      <c r="E206" s="131"/>
      <c r="F206" s="131"/>
      <c r="G206" s="131"/>
      <c r="H206" s="131"/>
    </row>
    <row r="207" spans="1:8" s="102" customFormat="1">
      <c r="A207" s="313"/>
      <c r="E207" s="131"/>
      <c r="F207" s="131"/>
      <c r="G207" s="131"/>
      <c r="H207" s="131"/>
    </row>
    <row r="208" spans="1:8" s="102" customFormat="1">
      <c r="A208" s="313"/>
      <c r="E208" s="131"/>
      <c r="F208" s="131"/>
      <c r="G208" s="131"/>
      <c r="H208" s="131"/>
    </row>
    <row r="209" spans="1:8" s="102" customFormat="1">
      <c r="A209" s="313"/>
      <c r="E209" s="131"/>
      <c r="F209" s="131"/>
      <c r="G209" s="131"/>
      <c r="H209" s="131"/>
    </row>
    <row r="210" spans="1:8" s="102" customFormat="1">
      <c r="A210" s="313"/>
      <c r="E210" s="131"/>
      <c r="F210" s="131"/>
      <c r="G210" s="131"/>
      <c r="H210" s="131"/>
    </row>
    <row r="211" spans="1:8" s="102" customFormat="1">
      <c r="A211" s="313"/>
      <c r="E211" s="131"/>
      <c r="F211" s="131"/>
      <c r="G211" s="131"/>
      <c r="H211" s="131"/>
    </row>
    <row r="212" spans="1:8" s="102" customFormat="1">
      <c r="A212" s="313"/>
      <c r="E212" s="131"/>
      <c r="F212" s="131"/>
      <c r="G212" s="131"/>
      <c r="H212" s="131"/>
    </row>
    <row r="213" spans="1:8" s="102" customFormat="1">
      <c r="A213" s="313"/>
      <c r="E213" s="131"/>
      <c r="F213" s="131"/>
      <c r="G213" s="131"/>
      <c r="H213" s="131"/>
    </row>
    <row r="214" spans="1:8" s="102" customFormat="1">
      <c r="A214" s="313"/>
      <c r="E214" s="131"/>
      <c r="F214" s="131"/>
      <c r="G214" s="131"/>
      <c r="H214" s="131"/>
    </row>
    <row r="215" spans="1:8" s="102" customFormat="1">
      <c r="A215" s="313"/>
      <c r="E215" s="131"/>
      <c r="F215" s="131"/>
      <c r="G215" s="131"/>
      <c r="H215" s="131"/>
    </row>
    <row r="216" spans="1:8" s="102" customFormat="1">
      <c r="A216" s="313"/>
      <c r="E216" s="131"/>
      <c r="F216" s="131"/>
      <c r="G216" s="131"/>
      <c r="H216" s="131"/>
    </row>
    <row r="217" spans="1:8" s="102" customFormat="1">
      <c r="A217" s="313"/>
      <c r="E217" s="131"/>
      <c r="F217" s="131"/>
      <c r="G217" s="131"/>
      <c r="H217" s="131"/>
    </row>
    <row r="218" spans="1:8" s="102" customFormat="1">
      <c r="A218" s="313"/>
      <c r="E218" s="131"/>
      <c r="F218" s="131"/>
      <c r="G218" s="131"/>
      <c r="H218" s="131"/>
    </row>
    <row r="219" spans="1:8" s="102" customFormat="1">
      <c r="A219" s="313"/>
      <c r="E219" s="131"/>
      <c r="F219" s="131"/>
      <c r="G219" s="131"/>
      <c r="H219" s="131"/>
    </row>
    <row r="220" spans="1:8" s="102" customFormat="1">
      <c r="A220" s="313"/>
      <c r="E220" s="131"/>
      <c r="F220" s="131"/>
      <c r="G220" s="131"/>
      <c r="H220" s="131"/>
    </row>
    <row r="221" spans="1:8" s="102" customFormat="1">
      <c r="A221" s="313"/>
      <c r="E221" s="131"/>
      <c r="F221" s="131"/>
      <c r="G221" s="131"/>
      <c r="H221" s="131"/>
    </row>
    <row r="222" spans="1:8" s="102" customFormat="1">
      <c r="A222" s="313"/>
      <c r="E222" s="131"/>
      <c r="F222" s="131"/>
      <c r="G222" s="131"/>
      <c r="H222" s="131"/>
    </row>
    <row r="223" spans="1:8" s="102" customFormat="1">
      <c r="A223" s="313"/>
      <c r="E223" s="131"/>
      <c r="F223" s="131"/>
      <c r="G223" s="131"/>
      <c r="H223" s="131"/>
    </row>
    <row r="224" spans="1:8" s="102" customFormat="1">
      <c r="A224" s="313"/>
      <c r="E224" s="131"/>
      <c r="F224" s="131"/>
      <c r="G224" s="131"/>
      <c r="H224" s="131"/>
    </row>
    <row r="225" spans="1:8" s="102" customFormat="1">
      <c r="A225" s="313"/>
      <c r="E225" s="131"/>
      <c r="F225" s="131"/>
      <c r="G225" s="131"/>
      <c r="H225" s="131"/>
    </row>
    <row r="226" spans="1:8" s="102" customFormat="1">
      <c r="A226" s="313"/>
      <c r="E226" s="131"/>
      <c r="F226" s="131"/>
      <c r="G226" s="131"/>
      <c r="H226" s="131"/>
    </row>
    <row r="227" spans="1:8" s="102" customFormat="1">
      <c r="A227" s="313"/>
      <c r="E227" s="131"/>
      <c r="F227" s="131"/>
      <c r="G227" s="131"/>
      <c r="H227" s="131"/>
    </row>
    <row r="228" spans="1:8" s="102" customFormat="1">
      <c r="A228" s="313"/>
      <c r="E228" s="131"/>
      <c r="F228" s="131"/>
      <c r="G228" s="131"/>
      <c r="H228" s="131"/>
    </row>
    <row r="229" spans="1:8" s="102" customFormat="1">
      <c r="A229" s="313"/>
      <c r="E229" s="131"/>
      <c r="F229" s="131"/>
      <c r="G229" s="131"/>
      <c r="H229" s="131"/>
    </row>
    <row r="230" spans="1:8" s="102" customFormat="1">
      <c r="A230" s="313"/>
      <c r="E230" s="131"/>
      <c r="F230" s="131"/>
      <c r="G230" s="131"/>
      <c r="H230" s="131"/>
    </row>
    <row r="231" spans="1:8" s="102" customFormat="1">
      <c r="A231" s="313"/>
      <c r="E231" s="131"/>
      <c r="F231" s="131"/>
      <c r="G231" s="131"/>
      <c r="H231" s="131"/>
    </row>
    <row r="232" spans="1:8" s="102" customFormat="1">
      <c r="A232" s="313"/>
      <c r="E232" s="131"/>
      <c r="F232" s="131"/>
      <c r="G232" s="131"/>
      <c r="H232" s="131"/>
    </row>
    <row r="233" spans="1:8" s="102" customFormat="1">
      <c r="A233" s="313"/>
      <c r="E233" s="131"/>
      <c r="F233" s="131"/>
      <c r="G233" s="131"/>
      <c r="H233" s="131"/>
    </row>
    <row r="234" spans="1:8" s="102" customFormat="1">
      <c r="A234" s="313"/>
      <c r="E234" s="131"/>
      <c r="F234" s="131"/>
      <c r="G234" s="131"/>
      <c r="H234" s="131"/>
    </row>
    <row r="235" spans="1:8" s="102" customFormat="1">
      <c r="A235" s="313"/>
      <c r="E235" s="131"/>
      <c r="F235" s="131"/>
      <c r="G235" s="131"/>
      <c r="H235" s="131"/>
    </row>
    <row r="236" spans="1:8" s="102" customFormat="1">
      <c r="A236" s="313"/>
      <c r="E236" s="131"/>
      <c r="F236" s="131"/>
      <c r="G236" s="131"/>
      <c r="H236" s="131"/>
    </row>
    <row r="237" spans="1:8" s="102" customFormat="1">
      <c r="A237" s="313"/>
      <c r="E237" s="131"/>
      <c r="F237" s="131"/>
      <c r="G237" s="131"/>
      <c r="H237" s="131"/>
    </row>
    <row r="238" spans="1:8" s="102" customFormat="1">
      <c r="A238" s="313"/>
      <c r="E238" s="131"/>
      <c r="F238" s="131"/>
      <c r="G238" s="131"/>
      <c r="H238" s="131"/>
    </row>
    <row r="239" spans="1:8" s="102" customFormat="1">
      <c r="A239" s="313"/>
      <c r="E239" s="131"/>
      <c r="F239" s="131"/>
      <c r="G239" s="131"/>
      <c r="H239" s="131"/>
    </row>
    <row r="240" spans="1:8" s="102" customFormat="1">
      <c r="A240" s="313"/>
      <c r="E240" s="131"/>
      <c r="F240" s="131"/>
      <c r="G240" s="131"/>
      <c r="H240" s="131"/>
    </row>
    <row r="241" spans="1:8" s="102" customFormat="1">
      <c r="A241" s="313"/>
      <c r="E241" s="131"/>
      <c r="F241" s="131"/>
      <c r="G241" s="131"/>
      <c r="H241" s="131"/>
    </row>
    <row r="242" spans="1:8" s="102" customFormat="1">
      <c r="A242" s="313"/>
      <c r="E242" s="131"/>
      <c r="F242" s="131"/>
      <c r="G242" s="131"/>
      <c r="H242" s="131"/>
    </row>
    <row r="243" spans="1:8" s="102" customFormat="1">
      <c r="A243" s="313"/>
      <c r="E243" s="131"/>
      <c r="F243" s="131"/>
      <c r="G243" s="131"/>
      <c r="H243" s="131"/>
    </row>
    <row r="244" spans="1:8" s="102" customFormat="1">
      <c r="A244" s="313"/>
      <c r="E244" s="131"/>
      <c r="F244" s="131"/>
      <c r="G244" s="131"/>
      <c r="H244" s="131"/>
    </row>
    <row r="245" spans="1:8" s="102" customFormat="1">
      <c r="A245" s="313"/>
      <c r="E245" s="131"/>
      <c r="F245" s="131"/>
      <c r="G245" s="131"/>
      <c r="H245" s="131"/>
    </row>
    <row r="246" spans="1:8" s="102" customFormat="1">
      <c r="A246" s="313"/>
      <c r="E246" s="131"/>
      <c r="F246" s="131"/>
      <c r="G246" s="131"/>
      <c r="H246" s="131"/>
    </row>
    <row r="247" spans="1:8" s="102" customFormat="1">
      <c r="A247" s="313"/>
      <c r="E247" s="131"/>
      <c r="F247" s="131"/>
      <c r="G247" s="131"/>
      <c r="H247" s="131"/>
    </row>
    <row r="248" spans="1:8" s="102" customFormat="1">
      <c r="A248" s="313"/>
      <c r="E248" s="131"/>
      <c r="F248" s="131"/>
      <c r="G248" s="131"/>
      <c r="H248" s="131"/>
    </row>
    <row r="249" spans="1:8" s="102" customFormat="1">
      <c r="A249" s="313"/>
      <c r="E249" s="131"/>
      <c r="F249" s="131"/>
      <c r="G249" s="131"/>
      <c r="H249" s="131"/>
    </row>
    <row r="250" spans="1:8" s="102" customFormat="1">
      <c r="A250" s="313"/>
      <c r="E250" s="131"/>
      <c r="F250" s="131"/>
      <c r="G250" s="131"/>
      <c r="H250" s="131"/>
    </row>
    <row r="251" spans="1:8" s="102" customFormat="1">
      <c r="A251" s="313"/>
      <c r="E251" s="131"/>
      <c r="F251" s="131"/>
      <c r="G251" s="131"/>
      <c r="H251" s="131"/>
    </row>
    <row r="252" spans="1:8" s="102" customFormat="1">
      <c r="A252" s="313"/>
      <c r="E252" s="131"/>
      <c r="F252" s="131"/>
      <c r="G252" s="131"/>
      <c r="H252" s="131"/>
    </row>
    <row r="253" spans="1:8" s="102" customFormat="1">
      <c r="A253" s="313"/>
      <c r="E253" s="131"/>
      <c r="F253" s="131"/>
      <c r="G253" s="131"/>
      <c r="H253" s="131"/>
    </row>
    <row r="254" spans="1:8" s="102" customFormat="1">
      <c r="A254" s="313"/>
      <c r="E254" s="131"/>
      <c r="F254" s="131"/>
      <c r="G254" s="131"/>
      <c r="H254" s="131"/>
    </row>
    <row r="255" spans="1:8" s="102" customFormat="1">
      <c r="A255" s="313"/>
      <c r="E255" s="131"/>
      <c r="F255" s="131"/>
      <c r="G255" s="131"/>
      <c r="H255" s="131"/>
    </row>
    <row r="256" spans="1:8" s="102" customFormat="1">
      <c r="A256" s="313"/>
      <c r="E256" s="131"/>
      <c r="F256" s="131"/>
      <c r="G256" s="131"/>
      <c r="H256" s="131"/>
    </row>
    <row r="257" spans="1:8" s="102" customFormat="1">
      <c r="A257" s="313"/>
      <c r="E257" s="131"/>
      <c r="F257" s="131"/>
      <c r="G257" s="131"/>
      <c r="H257" s="131"/>
    </row>
    <row r="258" spans="1:8" s="102" customFormat="1">
      <c r="A258" s="313"/>
      <c r="E258" s="131"/>
      <c r="F258" s="131"/>
      <c r="G258" s="131"/>
      <c r="H258" s="131"/>
    </row>
    <row r="259" spans="1:8" s="102" customFormat="1">
      <c r="A259" s="313"/>
      <c r="E259" s="131"/>
      <c r="F259" s="131"/>
      <c r="G259" s="131"/>
      <c r="H259" s="131"/>
    </row>
    <row r="260" spans="1:8" s="102" customFormat="1">
      <c r="A260" s="313"/>
      <c r="E260" s="131"/>
      <c r="F260" s="131"/>
      <c r="G260" s="131"/>
      <c r="H260" s="131"/>
    </row>
    <row r="261" spans="1:8" s="102" customFormat="1">
      <c r="A261" s="313"/>
      <c r="E261" s="131"/>
      <c r="F261" s="131"/>
      <c r="G261" s="131"/>
      <c r="H261" s="131"/>
    </row>
    <row r="262" spans="1:8" s="102" customFormat="1">
      <c r="A262" s="313"/>
      <c r="E262" s="131"/>
      <c r="F262" s="131"/>
      <c r="G262" s="131"/>
      <c r="H262" s="131"/>
    </row>
    <row r="263" spans="1:8" s="102" customFormat="1">
      <c r="A263" s="313"/>
      <c r="E263" s="131"/>
      <c r="F263" s="131"/>
      <c r="G263" s="131"/>
      <c r="H263" s="131"/>
    </row>
    <row r="264" spans="1:8" s="102" customFormat="1">
      <c r="A264" s="313"/>
      <c r="E264" s="131"/>
      <c r="F264" s="131"/>
      <c r="G264" s="131"/>
      <c r="H264" s="131"/>
    </row>
    <row r="265" spans="1:8" s="102" customFormat="1">
      <c r="A265" s="313"/>
      <c r="E265" s="131"/>
      <c r="F265" s="131"/>
      <c r="G265" s="131"/>
      <c r="H265" s="131"/>
    </row>
    <row r="266" spans="1:8" s="102" customFormat="1">
      <c r="A266" s="313"/>
      <c r="E266" s="131"/>
      <c r="F266" s="131"/>
      <c r="G266" s="131"/>
      <c r="H266" s="131"/>
    </row>
    <row r="267" spans="1:8" s="102" customFormat="1">
      <c r="A267" s="313"/>
      <c r="E267" s="131"/>
      <c r="F267" s="131"/>
      <c r="G267" s="131"/>
      <c r="H267" s="131"/>
    </row>
    <row r="268" spans="1:8" s="102" customFormat="1">
      <c r="A268" s="313"/>
      <c r="E268" s="131"/>
      <c r="F268" s="131"/>
      <c r="G268" s="131"/>
      <c r="H268" s="131"/>
    </row>
    <row r="269" spans="1:8" s="102" customFormat="1">
      <c r="A269" s="313"/>
      <c r="E269" s="131"/>
      <c r="F269" s="131"/>
      <c r="G269" s="131"/>
      <c r="H269" s="131"/>
    </row>
    <row r="270" spans="1:8" s="102" customFormat="1">
      <c r="A270" s="313"/>
      <c r="E270" s="131"/>
      <c r="F270" s="131"/>
      <c r="G270" s="131"/>
      <c r="H270" s="131"/>
    </row>
    <row r="271" spans="1:8" s="102" customFormat="1">
      <c r="A271" s="313"/>
      <c r="E271" s="131"/>
      <c r="F271" s="131"/>
      <c r="G271" s="131"/>
      <c r="H271" s="131"/>
    </row>
    <row r="272" spans="1:8" s="102" customFormat="1">
      <c r="A272" s="313"/>
      <c r="E272" s="131"/>
      <c r="F272" s="131"/>
      <c r="G272" s="131"/>
      <c r="H272" s="131"/>
    </row>
    <row r="273" spans="1:8" s="102" customFormat="1">
      <c r="A273" s="313"/>
      <c r="E273" s="131"/>
      <c r="F273" s="131"/>
      <c r="G273" s="131"/>
      <c r="H273" s="131"/>
    </row>
    <row r="274" spans="1:8" s="102" customFormat="1">
      <c r="A274" s="313"/>
      <c r="E274" s="131"/>
      <c r="F274" s="131"/>
      <c r="G274" s="131"/>
      <c r="H274" s="131"/>
    </row>
    <row r="275" spans="1:8" s="102" customFormat="1">
      <c r="A275" s="313"/>
      <c r="E275" s="131"/>
      <c r="F275" s="131"/>
      <c r="G275" s="131"/>
      <c r="H275" s="131"/>
    </row>
    <row r="276" spans="1:8" s="102" customFormat="1">
      <c r="A276" s="313"/>
      <c r="E276" s="131"/>
      <c r="F276" s="131"/>
      <c r="G276" s="131"/>
      <c r="H276" s="131"/>
    </row>
    <row r="277" spans="1:8" s="102" customFormat="1">
      <c r="A277" s="313"/>
      <c r="E277" s="131"/>
      <c r="F277" s="131"/>
      <c r="G277" s="131"/>
      <c r="H277" s="131"/>
    </row>
    <row r="278" spans="1:8" s="102" customFormat="1">
      <c r="A278" s="313"/>
      <c r="E278" s="131"/>
      <c r="F278" s="131"/>
      <c r="G278" s="131"/>
      <c r="H278" s="131"/>
    </row>
    <row r="279" spans="1:8" s="102" customFormat="1">
      <c r="A279" s="313"/>
      <c r="E279" s="131"/>
      <c r="F279" s="131"/>
      <c r="G279" s="131"/>
      <c r="H279" s="131"/>
    </row>
    <row r="280" spans="1:8" s="102" customFormat="1">
      <c r="A280" s="313"/>
      <c r="E280" s="131"/>
      <c r="F280" s="131"/>
      <c r="G280" s="131"/>
      <c r="H280" s="131"/>
    </row>
    <row r="281" spans="1:8" s="102" customFormat="1">
      <c r="A281" s="313"/>
      <c r="E281" s="131"/>
      <c r="F281" s="131"/>
      <c r="G281" s="131"/>
      <c r="H281" s="131"/>
    </row>
    <row r="282" spans="1:8" s="102" customFormat="1">
      <c r="A282" s="313"/>
      <c r="E282" s="131"/>
      <c r="F282" s="131"/>
      <c r="G282" s="131"/>
      <c r="H282" s="131"/>
    </row>
    <row r="283" spans="1:8" s="102" customFormat="1">
      <c r="A283" s="313"/>
      <c r="E283" s="131"/>
      <c r="F283" s="131"/>
      <c r="G283" s="131"/>
      <c r="H283" s="131"/>
    </row>
    <row r="284" spans="1:8" s="102" customFormat="1">
      <c r="A284" s="313"/>
      <c r="E284" s="131"/>
      <c r="F284" s="131"/>
      <c r="G284" s="131"/>
      <c r="H284" s="131"/>
    </row>
    <row r="285" spans="1:8" s="102" customFormat="1">
      <c r="A285" s="313"/>
      <c r="E285" s="131"/>
      <c r="F285" s="131"/>
      <c r="G285" s="131"/>
      <c r="H285" s="131"/>
    </row>
    <row r="286" spans="1:8" s="102" customFormat="1">
      <c r="A286" s="313"/>
      <c r="E286" s="131"/>
      <c r="F286" s="131"/>
      <c r="G286" s="131"/>
      <c r="H286" s="131"/>
    </row>
    <row r="287" spans="1:8" s="102" customFormat="1">
      <c r="A287" s="313"/>
      <c r="E287" s="131"/>
      <c r="F287" s="131"/>
      <c r="G287" s="131"/>
      <c r="H287" s="131"/>
    </row>
    <row r="288" spans="1:8" s="102" customFormat="1">
      <c r="A288" s="313"/>
      <c r="E288" s="131"/>
      <c r="F288" s="131"/>
      <c r="G288" s="131"/>
      <c r="H288" s="131"/>
    </row>
    <row r="289" spans="1:8" s="102" customFormat="1">
      <c r="A289" s="313"/>
      <c r="E289" s="131"/>
      <c r="F289" s="131"/>
      <c r="G289" s="131"/>
      <c r="H289" s="131"/>
    </row>
    <row r="290" spans="1:8" s="102" customFormat="1">
      <c r="A290" s="313"/>
      <c r="E290" s="131"/>
      <c r="F290" s="131"/>
      <c r="G290" s="131"/>
      <c r="H290" s="131"/>
    </row>
    <row r="291" spans="1:8" s="102" customFormat="1">
      <c r="A291" s="313"/>
      <c r="E291" s="131"/>
      <c r="F291" s="131"/>
      <c r="G291" s="131"/>
      <c r="H291" s="131"/>
    </row>
    <row r="292" spans="1:8" s="102" customFormat="1">
      <c r="A292" s="313"/>
      <c r="E292" s="131"/>
      <c r="F292" s="131"/>
      <c r="G292" s="131"/>
      <c r="H292" s="131"/>
    </row>
    <row r="293" spans="1:8" s="102" customFormat="1">
      <c r="A293" s="313"/>
      <c r="E293" s="131"/>
      <c r="F293" s="131"/>
      <c r="G293" s="131"/>
      <c r="H293" s="131"/>
    </row>
    <row r="294" spans="1:8" s="102" customFormat="1">
      <c r="A294" s="313"/>
      <c r="E294" s="131"/>
      <c r="F294" s="131"/>
      <c r="G294" s="131"/>
      <c r="H294" s="131"/>
    </row>
    <row r="295" spans="1:8" s="102" customFormat="1">
      <c r="A295" s="313"/>
      <c r="E295" s="131"/>
      <c r="F295" s="131"/>
      <c r="G295" s="131"/>
      <c r="H295" s="131"/>
    </row>
    <row r="296" spans="1:8" s="102" customFormat="1">
      <c r="A296" s="313"/>
      <c r="E296" s="131"/>
      <c r="F296" s="131"/>
      <c r="G296" s="131"/>
      <c r="H296" s="131"/>
    </row>
    <row r="297" spans="1:8" s="102" customFormat="1">
      <c r="A297" s="313"/>
      <c r="E297" s="131"/>
      <c r="F297" s="131"/>
      <c r="G297" s="131"/>
      <c r="H297" s="131"/>
    </row>
    <row r="298" spans="1:8" s="102" customFormat="1">
      <c r="A298" s="313"/>
      <c r="E298" s="131"/>
      <c r="F298" s="131"/>
      <c r="G298" s="131"/>
      <c r="H298" s="131"/>
    </row>
    <row r="299" spans="1:8" s="102" customFormat="1">
      <c r="A299" s="313"/>
      <c r="E299" s="131"/>
      <c r="F299" s="131"/>
      <c r="G299" s="131"/>
      <c r="H299" s="131"/>
    </row>
    <row r="300" spans="1:8" s="102" customFormat="1">
      <c r="A300" s="313"/>
      <c r="E300" s="131"/>
      <c r="F300" s="131"/>
      <c r="G300" s="131"/>
      <c r="H300" s="131"/>
    </row>
  </sheetData>
  <mergeCells count="18">
    <mergeCell ref="C149:D149"/>
    <mergeCell ref="G149:H149"/>
    <mergeCell ref="C148:D148"/>
    <mergeCell ref="A127:H127"/>
    <mergeCell ref="A51:H51"/>
    <mergeCell ref="A118:H118"/>
    <mergeCell ref="C128:D128"/>
    <mergeCell ref="E128:H128"/>
    <mergeCell ref="G148:H148"/>
    <mergeCell ref="A69:H69"/>
    <mergeCell ref="A44:H44"/>
    <mergeCell ref="A2:H2"/>
    <mergeCell ref="A1:H1"/>
    <mergeCell ref="A4:A5"/>
    <mergeCell ref="B4:B5"/>
    <mergeCell ref="A7:H7"/>
    <mergeCell ref="E4:H4"/>
    <mergeCell ref="C4:D4"/>
  </mergeCells>
  <phoneticPr fontId="4" type="noConversion"/>
  <pageMargins left="0.39370078740157483" right="0.39370078740157483" top="0.59055118110236227" bottom="0.39370078740157483" header="0.39370078740157483" footer="0.19685039370078741"/>
  <pageSetup paperSize="9" scale="72" fitToHeight="10" orientation="landscape" verticalDpi="300" r:id="rId1"/>
  <headerFooter alignWithMargins="0"/>
  <rowBreaks count="1" manualBreakCount="1">
    <brk id="130" max="7" man="1"/>
  </rowBreaks>
  <ignoredErrors>
    <ignoredError sqref="B130:B13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N345"/>
  <sheetViews>
    <sheetView view="pageBreakPreview" zoomScale="65" zoomScaleSheetLayoutView="65" workbookViewId="0">
      <selection activeCell="M16" sqref="M16"/>
    </sheetView>
  </sheetViews>
  <sheetFormatPr defaultRowHeight="18.75"/>
  <cols>
    <col min="1" max="1" width="9.140625" style="2"/>
    <col min="2" max="2" width="58" style="2" customWidth="1"/>
    <col min="3" max="3" width="13.42578125" style="142" customWidth="1"/>
    <col min="4" max="4" width="18.28515625" style="142" customWidth="1"/>
    <col min="5" max="5" width="18.5703125" style="142" customWidth="1"/>
    <col min="6" max="6" width="17.85546875" style="142" customWidth="1"/>
    <col min="7" max="7" width="18.28515625" style="2" customWidth="1"/>
    <col min="8" max="8" width="19.28515625" style="2" customWidth="1"/>
    <col min="9" max="9" width="13.28515625" style="2" bestFit="1" customWidth="1"/>
    <col min="10" max="10" width="18" style="2" customWidth="1"/>
    <col min="11" max="11" width="17.28515625" style="2" customWidth="1"/>
    <col min="12" max="12" width="12.42578125" style="2" customWidth="1"/>
    <col min="13" max="14" width="10.5703125" style="2" bestFit="1" customWidth="1"/>
    <col min="15" max="15" width="14.7109375" style="2" bestFit="1" customWidth="1"/>
    <col min="16" max="18" width="9.140625" style="2"/>
    <col min="19" max="19" width="11.5703125" style="2" bestFit="1" customWidth="1"/>
    <col min="20" max="20" width="9.140625" style="2"/>
    <col min="21" max="21" width="11.5703125" style="2" bestFit="1" customWidth="1"/>
    <col min="22" max="16384" width="9.140625" style="2"/>
  </cols>
  <sheetData>
    <row r="2" spans="1:11" ht="20.25">
      <c r="B2" s="205" t="s">
        <v>103</v>
      </c>
      <c r="C2" s="205"/>
      <c r="D2" s="205"/>
      <c r="E2" s="205"/>
      <c r="F2" s="205"/>
    </row>
    <row r="3" spans="1:11">
      <c r="B3" s="144"/>
      <c r="C3" s="3"/>
      <c r="D3" s="144"/>
      <c r="E3" s="144"/>
      <c r="F3" s="144"/>
      <c r="H3" s="2" t="s">
        <v>65</v>
      </c>
    </row>
    <row r="4" spans="1:11" ht="73.5" customHeight="1">
      <c r="A4" s="4" t="s">
        <v>76</v>
      </c>
      <c r="B4" s="4" t="s">
        <v>23</v>
      </c>
      <c r="C4" s="12" t="s">
        <v>5</v>
      </c>
      <c r="D4" s="12" t="s">
        <v>497</v>
      </c>
      <c r="E4" s="12" t="s">
        <v>496</v>
      </c>
      <c r="F4" s="12" t="s">
        <v>480</v>
      </c>
      <c r="G4" s="12" t="s">
        <v>112</v>
      </c>
      <c r="H4" s="12" t="s">
        <v>114</v>
      </c>
    </row>
    <row r="5" spans="1:11" ht="30.75" customHeight="1">
      <c r="A5" s="4">
        <v>1</v>
      </c>
      <c r="B5" s="4">
        <v>2</v>
      </c>
      <c r="C5" s="12">
        <v>3</v>
      </c>
      <c r="D5" s="12">
        <v>4</v>
      </c>
      <c r="E5" s="12">
        <v>5</v>
      </c>
      <c r="F5" s="12">
        <v>6</v>
      </c>
      <c r="G5" s="4">
        <v>7</v>
      </c>
      <c r="H5" s="4">
        <v>8</v>
      </c>
    </row>
    <row r="6" spans="1:11" ht="30.75" customHeight="1">
      <c r="A6" s="208" t="s">
        <v>75</v>
      </c>
      <c r="B6" s="208"/>
      <c r="C6" s="12"/>
      <c r="D6" s="13">
        <f>D7+D13+D23+D25</f>
        <v>108107.2</v>
      </c>
      <c r="E6" s="13">
        <f>E7+E13+E23+E25</f>
        <v>149219.90000000002</v>
      </c>
      <c r="F6" s="13">
        <f>F7+F13+F23+F25</f>
        <v>159585.69999999998</v>
      </c>
      <c r="G6" s="4">
        <f>F6-E6</f>
        <v>10365.799999999959</v>
      </c>
      <c r="H6" s="14">
        <f>(F6/E6)*100</f>
        <v>106.94666059955806</v>
      </c>
      <c r="J6" s="21"/>
    </row>
    <row r="7" spans="1:11" ht="45" customHeight="1">
      <c r="A7" s="202" t="s">
        <v>74</v>
      </c>
      <c r="B7" s="202"/>
      <c r="C7" s="143">
        <v>1000</v>
      </c>
      <c r="D7" s="15">
        <f>SUM(D8:D12)</f>
        <v>86185.3</v>
      </c>
      <c r="E7" s="15">
        <f>SUM(E8:E12)</f>
        <v>125264.7</v>
      </c>
      <c r="F7" s="15">
        <f>SUM(F8:F12)</f>
        <v>123660.1</v>
      </c>
      <c r="G7" s="16">
        <f>F7-E7</f>
        <v>-1604.5999999999913</v>
      </c>
      <c r="H7" s="16">
        <f>(F7/E7)*100</f>
        <v>98.71903257661576</v>
      </c>
      <c r="I7" s="2">
        <v>123660.1</v>
      </c>
      <c r="K7" s="21">
        <f>F6-D6</f>
        <v>51478.499999999985</v>
      </c>
    </row>
    <row r="8" spans="1:11" ht="45" customHeight="1">
      <c r="A8" s="17">
        <v>1</v>
      </c>
      <c r="B8" s="18" t="s">
        <v>205</v>
      </c>
      <c r="C8" s="143"/>
      <c r="D8" s="19">
        <v>85038.5</v>
      </c>
      <c r="E8" s="19">
        <v>122304.8</v>
      </c>
      <c r="F8" s="19">
        <v>122146.6</v>
      </c>
      <c r="G8" s="16">
        <f>F8-E8</f>
        <v>-158.19999999999709</v>
      </c>
      <c r="H8" s="16">
        <f>(F8/E8)*100</f>
        <v>99.870651029231894</v>
      </c>
    </row>
    <row r="9" spans="1:11" ht="30" customHeight="1">
      <c r="A9" s="17">
        <v>2</v>
      </c>
      <c r="B9" s="18" t="s">
        <v>313</v>
      </c>
      <c r="C9" s="143"/>
      <c r="D9" s="19"/>
      <c r="E9" s="19">
        <v>2959.9</v>
      </c>
      <c r="F9" s="19">
        <v>1513.5</v>
      </c>
      <c r="G9" s="16">
        <f t="shared" ref="G9" si="0">F9-E9</f>
        <v>-1446.4</v>
      </c>
      <c r="H9" s="16">
        <f t="shared" ref="H9" si="1">(F9/E9)*100</f>
        <v>51.133484239332404</v>
      </c>
    </row>
    <row r="10" spans="1:11" ht="38.25" customHeight="1">
      <c r="A10" s="17"/>
      <c r="B10" s="18" t="s">
        <v>513</v>
      </c>
      <c r="C10" s="143"/>
      <c r="D10" s="19">
        <v>742</v>
      </c>
      <c r="E10" s="19"/>
      <c r="F10" s="19">
        <v>0</v>
      </c>
      <c r="G10" s="16">
        <f t="shared" ref="G10:G73" si="2">F10-E10</f>
        <v>0</v>
      </c>
      <c r="H10" s="59" t="e">
        <f t="shared" ref="H10:H73" si="3">(F10/E10)*100</f>
        <v>#DIV/0!</v>
      </c>
    </row>
    <row r="11" spans="1:11" ht="30" customHeight="1">
      <c r="A11" s="17">
        <v>3</v>
      </c>
      <c r="B11" s="18" t="s">
        <v>206</v>
      </c>
      <c r="C11" s="143"/>
      <c r="D11" s="19">
        <v>50.1</v>
      </c>
      <c r="E11" s="19"/>
      <c r="F11" s="19">
        <v>0</v>
      </c>
      <c r="G11" s="16">
        <f t="shared" si="2"/>
        <v>0</v>
      </c>
      <c r="H11" s="59" t="e">
        <f t="shared" si="3"/>
        <v>#DIV/0!</v>
      </c>
    </row>
    <row r="12" spans="1:11" ht="66.75" customHeight="1">
      <c r="A12" s="17">
        <v>4</v>
      </c>
      <c r="B12" s="18" t="s">
        <v>207</v>
      </c>
      <c r="C12" s="12"/>
      <c r="D12" s="19">
        <v>354.7</v>
      </c>
      <c r="E12" s="19"/>
      <c r="F12" s="19">
        <v>0</v>
      </c>
      <c r="G12" s="16">
        <f t="shared" si="2"/>
        <v>0</v>
      </c>
      <c r="H12" s="59" t="e">
        <f t="shared" si="3"/>
        <v>#DIV/0!</v>
      </c>
    </row>
    <row r="13" spans="1:11" ht="30.75" customHeight="1">
      <c r="A13" s="210" t="s">
        <v>35</v>
      </c>
      <c r="B13" s="210"/>
      <c r="C13" s="143">
        <v>1040</v>
      </c>
      <c r="D13" s="15">
        <f>SUM(D14:D22)</f>
        <v>18339.5</v>
      </c>
      <c r="E13" s="15">
        <f>SUM(E14:E21)</f>
        <v>20902</v>
      </c>
      <c r="F13" s="15">
        <f>SUM(F14:F21)</f>
        <v>29464.400000000001</v>
      </c>
      <c r="G13" s="20">
        <f t="shared" si="2"/>
        <v>8562.4000000000015</v>
      </c>
      <c r="H13" s="20">
        <f t="shared" si="3"/>
        <v>140.96450100468857</v>
      </c>
      <c r="I13" s="2">
        <v>29464.400000000001</v>
      </c>
      <c r="J13" s="57"/>
    </row>
    <row r="14" spans="1:11" ht="48" customHeight="1">
      <c r="A14" s="17">
        <v>1</v>
      </c>
      <c r="B14" s="18" t="s">
        <v>259</v>
      </c>
      <c r="C14" s="143"/>
      <c r="D14" s="19">
        <v>14329.1</v>
      </c>
      <c r="E14" s="19">
        <v>19136.400000000001</v>
      </c>
      <c r="F14" s="19">
        <v>17072.400000000001</v>
      </c>
      <c r="G14" s="16">
        <f t="shared" si="2"/>
        <v>-2064</v>
      </c>
      <c r="H14" s="16">
        <f t="shared" si="3"/>
        <v>89.214272276917299</v>
      </c>
      <c r="I14" s="21"/>
      <c r="J14" s="21"/>
    </row>
    <row r="15" spans="1:11" ht="48" customHeight="1">
      <c r="A15" s="17">
        <v>2</v>
      </c>
      <c r="B15" s="18" t="s">
        <v>260</v>
      </c>
      <c r="C15" s="143"/>
      <c r="D15" s="19"/>
      <c r="E15" s="19"/>
      <c r="F15" s="19">
        <v>2734.1</v>
      </c>
      <c r="G15" s="16">
        <f t="shared" si="2"/>
        <v>2734.1</v>
      </c>
      <c r="H15" s="59" t="e">
        <f t="shared" si="3"/>
        <v>#DIV/0!</v>
      </c>
      <c r="J15" s="21"/>
    </row>
    <row r="16" spans="1:11" ht="82.5" customHeight="1">
      <c r="A16" s="17">
        <v>3</v>
      </c>
      <c r="B16" s="145" t="s">
        <v>403</v>
      </c>
      <c r="C16" s="143"/>
      <c r="D16" s="19">
        <v>143</v>
      </c>
      <c r="E16" s="19"/>
      <c r="F16" s="19">
        <v>0</v>
      </c>
      <c r="G16" s="16">
        <f t="shared" si="2"/>
        <v>0</v>
      </c>
      <c r="H16" s="59" t="e">
        <f t="shared" si="3"/>
        <v>#DIV/0!</v>
      </c>
      <c r="J16" s="21"/>
    </row>
    <row r="17" spans="1:11" ht="60" customHeight="1">
      <c r="A17" s="17">
        <v>4</v>
      </c>
      <c r="B17" s="145" t="s">
        <v>315</v>
      </c>
      <c r="C17" s="143"/>
      <c r="D17" s="19"/>
      <c r="E17" s="19">
        <v>1765.6</v>
      </c>
      <c r="F17" s="19">
        <v>0</v>
      </c>
      <c r="G17" s="16">
        <f t="shared" si="2"/>
        <v>-1765.6</v>
      </c>
      <c r="H17" s="16">
        <f t="shared" si="3"/>
        <v>0</v>
      </c>
      <c r="J17" s="21"/>
    </row>
    <row r="18" spans="1:11" ht="32.25" customHeight="1">
      <c r="A18" s="17">
        <v>5</v>
      </c>
      <c r="B18" s="18" t="s">
        <v>208</v>
      </c>
      <c r="C18" s="143"/>
      <c r="D18" s="19">
        <v>82.1</v>
      </c>
      <c r="E18" s="19"/>
      <c r="F18" s="19">
        <v>108.9</v>
      </c>
      <c r="G18" s="16">
        <f t="shared" si="2"/>
        <v>108.9</v>
      </c>
      <c r="H18" s="59" t="e">
        <f t="shared" si="3"/>
        <v>#DIV/0!</v>
      </c>
    </row>
    <row r="19" spans="1:11" ht="43.5" customHeight="1">
      <c r="A19" s="17">
        <v>6</v>
      </c>
      <c r="B19" s="18" t="s">
        <v>514</v>
      </c>
      <c r="C19" s="143"/>
      <c r="D19" s="19">
        <f>26-14.8</f>
        <v>11.2</v>
      </c>
      <c r="E19" s="19"/>
      <c r="F19" s="19"/>
      <c r="G19" s="16">
        <f t="shared" si="2"/>
        <v>0</v>
      </c>
      <c r="H19" s="59" t="e">
        <f t="shared" si="3"/>
        <v>#DIV/0!</v>
      </c>
      <c r="K19" s="21"/>
    </row>
    <row r="20" spans="1:11" ht="33" customHeight="1">
      <c r="A20" s="17">
        <v>7</v>
      </c>
      <c r="B20" s="18" t="s">
        <v>209</v>
      </c>
      <c r="C20" s="143"/>
      <c r="D20" s="19">
        <v>555.79999999999995</v>
      </c>
      <c r="E20" s="19"/>
      <c r="F20" s="19">
        <v>870.9</v>
      </c>
      <c r="G20" s="16">
        <f t="shared" si="2"/>
        <v>870.9</v>
      </c>
      <c r="H20" s="59" t="e">
        <f t="shared" si="3"/>
        <v>#DIV/0!</v>
      </c>
      <c r="J20" s="21"/>
    </row>
    <row r="21" spans="1:11" ht="30.75" customHeight="1">
      <c r="A21" s="17">
        <v>8</v>
      </c>
      <c r="B21" s="18" t="s">
        <v>210</v>
      </c>
      <c r="C21" s="143"/>
      <c r="D21" s="19">
        <v>3173.7</v>
      </c>
      <c r="E21" s="19"/>
      <c r="F21" s="19">
        <v>8678.1</v>
      </c>
      <c r="G21" s="16">
        <f t="shared" si="2"/>
        <v>8678.1</v>
      </c>
      <c r="H21" s="59" t="e">
        <f t="shared" si="3"/>
        <v>#DIV/0!</v>
      </c>
      <c r="I21" s="21"/>
      <c r="J21" s="21"/>
    </row>
    <row r="22" spans="1:11" ht="30.75" customHeight="1">
      <c r="A22" s="17">
        <v>9</v>
      </c>
      <c r="B22" s="18" t="s">
        <v>515</v>
      </c>
      <c r="C22" s="143"/>
      <c r="D22" s="19">
        <v>44.6</v>
      </c>
      <c r="E22" s="19"/>
      <c r="F22" s="19"/>
      <c r="G22" s="16">
        <f t="shared" si="2"/>
        <v>0</v>
      </c>
      <c r="H22" s="59" t="e">
        <f t="shared" si="3"/>
        <v>#DIV/0!</v>
      </c>
      <c r="I22" s="21"/>
      <c r="J22" s="21"/>
    </row>
    <row r="23" spans="1:11" ht="30.75" customHeight="1">
      <c r="A23" s="210" t="s">
        <v>77</v>
      </c>
      <c r="B23" s="210"/>
      <c r="C23" s="143">
        <v>1130</v>
      </c>
      <c r="D23" s="15">
        <f>D24</f>
        <v>49</v>
      </c>
      <c r="E23" s="15">
        <f>E24</f>
        <v>50</v>
      </c>
      <c r="F23" s="15">
        <f>F24</f>
        <v>281.39999999999998</v>
      </c>
      <c r="G23" s="20">
        <f t="shared" si="2"/>
        <v>231.39999999999998</v>
      </c>
      <c r="H23" s="20">
        <f t="shared" si="3"/>
        <v>562.79999999999995</v>
      </c>
      <c r="I23" s="2">
        <v>6461.2</v>
      </c>
    </row>
    <row r="24" spans="1:11" ht="45" customHeight="1">
      <c r="A24" s="17">
        <v>1</v>
      </c>
      <c r="B24" s="22" t="s">
        <v>211</v>
      </c>
      <c r="C24" s="12"/>
      <c r="D24" s="19">
        <v>49</v>
      </c>
      <c r="E24" s="19">
        <v>50</v>
      </c>
      <c r="F24" s="19">
        <v>281.39999999999998</v>
      </c>
      <c r="G24" s="16">
        <f t="shared" si="2"/>
        <v>231.39999999999998</v>
      </c>
      <c r="H24" s="16">
        <f t="shared" si="3"/>
        <v>562.79999999999995</v>
      </c>
    </row>
    <row r="25" spans="1:11" ht="30.75" customHeight="1">
      <c r="A25" s="210" t="s">
        <v>27</v>
      </c>
      <c r="B25" s="210"/>
      <c r="C25" s="143">
        <v>1150</v>
      </c>
      <c r="D25" s="15">
        <f>SUM(D26:D29)</f>
        <v>3533.4</v>
      </c>
      <c r="E25" s="15">
        <f>SUM(E26:E29)</f>
        <v>3003.2</v>
      </c>
      <c r="F25" s="15">
        <f>SUM(F26:F29)</f>
        <v>6179.8</v>
      </c>
      <c r="G25" s="20">
        <f t="shared" si="2"/>
        <v>3176.6000000000004</v>
      </c>
      <c r="H25" s="20">
        <f t="shared" si="3"/>
        <v>205.77384123601493</v>
      </c>
      <c r="I25" s="21">
        <f>I23-F24</f>
        <v>6179.8</v>
      </c>
      <c r="J25" s="21"/>
    </row>
    <row r="26" spans="1:11" ht="47.25" customHeight="1">
      <c r="A26" s="4">
        <v>2</v>
      </c>
      <c r="B26" s="18" t="s">
        <v>244</v>
      </c>
      <c r="C26" s="143"/>
      <c r="D26" s="19">
        <f>4.9+14.8</f>
        <v>19.700000000000003</v>
      </c>
      <c r="E26" s="19">
        <v>35.200000000000003</v>
      </c>
      <c r="F26" s="19">
        <v>0</v>
      </c>
      <c r="G26" s="16">
        <f t="shared" si="2"/>
        <v>-35.200000000000003</v>
      </c>
      <c r="H26" s="16">
        <f t="shared" si="3"/>
        <v>0</v>
      </c>
    </row>
    <row r="27" spans="1:11" ht="47.25" customHeight="1">
      <c r="A27" s="4">
        <v>3</v>
      </c>
      <c r="B27" s="18" t="s">
        <v>234</v>
      </c>
      <c r="C27" s="143"/>
      <c r="D27" s="19">
        <v>11.6</v>
      </c>
      <c r="E27" s="15"/>
      <c r="F27" s="19">
        <v>0</v>
      </c>
      <c r="G27" s="16">
        <f t="shared" si="2"/>
        <v>0</v>
      </c>
      <c r="H27" s="59" t="e">
        <f t="shared" si="3"/>
        <v>#DIV/0!</v>
      </c>
    </row>
    <row r="28" spans="1:11" ht="30.75" customHeight="1">
      <c r="A28" s="4">
        <v>4</v>
      </c>
      <c r="B28" s="18" t="s">
        <v>208</v>
      </c>
      <c r="C28" s="143"/>
      <c r="D28" s="19"/>
      <c r="E28" s="19">
        <v>108</v>
      </c>
      <c r="F28" s="19"/>
      <c r="G28" s="16">
        <f t="shared" si="2"/>
        <v>-108</v>
      </c>
      <c r="H28" s="16">
        <f t="shared" si="3"/>
        <v>0</v>
      </c>
    </row>
    <row r="29" spans="1:11" ht="41.25" customHeight="1">
      <c r="A29" s="4">
        <v>6</v>
      </c>
      <c r="B29" s="18" t="s">
        <v>230</v>
      </c>
      <c r="C29" s="143"/>
      <c r="D29" s="19">
        <v>3502.1</v>
      </c>
      <c r="E29" s="19">
        <v>2860</v>
      </c>
      <c r="F29" s="19">
        <v>6179.8</v>
      </c>
      <c r="G29" s="16">
        <f t="shared" si="2"/>
        <v>3319.8</v>
      </c>
      <c r="H29" s="16">
        <f t="shared" si="3"/>
        <v>216.07692307692309</v>
      </c>
    </row>
    <row r="30" spans="1:11" ht="35.25" customHeight="1">
      <c r="A30" s="208" t="s">
        <v>78</v>
      </c>
      <c r="B30" s="208"/>
      <c r="C30" s="143"/>
      <c r="D30" s="15"/>
      <c r="E30" s="15"/>
      <c r="F30" s="15"/>
      <c r="G30" s="16"/>
      <c r="H30" s="16"/>
    </row>
    <row r="31" spans="1:11" ht="48" customHeight="1">
      <c r="A31" s="202" t="s">
        <v>79</v>
      </c>
      <c r="B31" s="202"/>
      <c r="C31" s="12"/>
      <c r="D31" s="15"/>
      <c r="E31" s="15"/>
      <c r="F31" s="15"/>
      <c r="G31" s="16"/>
      <c r="H31" s="16"/>
    </row>
    <row r="32" spans="1:11" ht="34.5" customHeight="1">
      <c r="A32" s="209" t="s">
        <v>80</v>
      </c>
      <c r="B32" s="209"/>
      <c r="C32" s="143">
        <v>1011</v>
      </c>
      <c r="D32" s="15">
        <f>SUM(D33:D45)</f>
        <v>15711.699999999999</v>
      </c>
      <c r="E32" s="15">
        <f>SUM(E33:E45)</f>
        <v>17373</v>
      </c>
      <c r="F32" s="15">
        <f>SUM(F33:F45)</f>
        <v>29750.600000000006</v>
      </c>
      <c r="G32" s="20">
        <f t="shared" si="2"/>
        <v>12377.600000000006</v>
      </c>
      <c r="H32" s="20">
        <f t="shared" si="3"/>
        <v>171.24618661140855</v>
      </c>
      <c r="I32" s="21"/>
      <c r="J32" s="21"/>
      <c r="K32" s="39"/>
    </row>
    <row r="33" spans="1:11" ht="32.25" customHeight="1">
      <c r="A33" s="143"/>
      <c r="B33" s="18" t="s">
        <v>191</v>
      </c>
      <c r="C33" s="143"/>
      <c r="D33" s="19">
        <v>4752.5</v>
      </c>
      <c r="E33" s="146">
        <v>6747.1</v>
      </c>
      <c r="F33" s="19">
        <v>6708.8</v>
      </c>
      <c r="G33" s="16">
        <f t="shared" si="2"/>
        <v>-38.300000000000182</v>
      </c>
      <c r="H33" s="16">
        <f t="shared" si="3"/>
        <v>99.432348712780311</v>
      </c>
      <c r="J33" s="21"/>
    </row>
    <row r="34" spans="1:11" ht="47.25" customHeight="1">
      <c r="A34" s="143"/>
      <c r="B34" s="18" t="s">
        <v>190</v>
      </c>
      <c r="C34" s="143"/>
      <c r="D34" s="19">
        <v>2</v>
      </c>
      <c r="E34" s="146"/>
      <c r="F34" s="19">
        <v>0</v>
      </c>
      <c r="G34" s="16">
        <f t="shared" si="2"/>
        <v>0</v>
      </c>
      <c r="H34" s="59" t="e">
        <f t="shared" si="3"/>
        <v>#DIV/0!</v>
      </c>
      <c r="J34" s="21"/>
    </row>
    <row r="35" spans="1:11" ht="29.25" customHeight="1">
      <c r="A35" s="143"/>
      <c r="B35" s="18" t="s">
        <v>194</v>
      </c>
      <c r="C35" s="143"/>
      <c r="D35" s="19">
        <v>255.4</v>
      </c>
      <c r="E35" s="146"/>
      <c r="F35" s="19">
        <v>204.3</v>
      </c>
      <c r="G35" s="16">
        <f t="shared" si="2"/>
        <v>204.3</v>
      </c>
      <c r="H35" s="59" t="e">
        <f t="shared" si="3"/>
        <v>#DIV/0!</v>
      </c>
      <c r="J35" s="21"/>
    </row>
    <row r="36" spans="1:11" ht="29.25" customHeight="1">
      <c r="A36" s="143"/>
      <c r="B36" s="18" t="s">
        <v>322</v>
      </c>
      <c r="C36" s="143"/>
      <c r="D36" s="19">
        <v>146.4</v>
      </c>
      <c r="E36" s="146"/>
      <c r="F36" s="19">
        <v>183</v>
      </c>
      <c r="G36" s="16">
        <f t="shared" si="2"/>
        <v>183</v>
      </c>
      <c r="H36" s="59" t="e">
        <f t="shared" si="3"/>
        <v>#DIV/0!</v>
      </c>
      <c r="J36" s="21"/>
    </row>
    <row r="37" spans="1:11" ht="27.75" customHeight="1">
      <c r="A37" s="143"/>
      <c r="B37" s="18" t="s">
        <v>195</v>
      </c>
      <c r="C37" s="143"/>
      <c r="D37" s="19">
        <v>4.5999999999999996</v>
      </c>
      <c r="E37" s="146"/>
      <c r="F37" s="19">
        <v>0</v>
      </c>
      <c r="G37" s="16">
        <f t="shared" si="2"/>
        <v>0</v>
      </c>
      <c r="H37" s="59" t="e">
        <f t="shared" si="3"/>
        <v>#DIV/0!</v>
      </c>
      <c r="J37" s="21"/>
    </row>
    <row r="38" spans="1:11" ht="32.25" customHeight="1">
      <c r="A38" s="143"/>
      <c r="B38" s="22" t="s">
        <v>212</v>
      </c>
      <c r="C38" s="143"/>
      <c r="D38" s="19">
        <f>7908.9+433.5</f>
        <v>8342.4</v>
      </c>
      <c r="E38" s="147">
        <v>8514.7000000000007</v>
      </c>
      <c r="F38" s="19">
        <v>18030.7</v>
      </c>
      <c r="G38" s="16">
        <f t="shared" si="2"/>
        <v>9516</v>
      </c>
      <c r="H38" s="16">
        <f t="shared" si="3"/>
        <v>211.75966270097595</v>
      </c>
    </row>
    <row r="39" spans="1:11" ht="42.75" customHeight="1">
      <c r="A39" s="143"/>
      <c r="B39" s="22" t="s">
        <v>192</v>
      </c>
      <c r="C39" s="143"/>
      <c r="D39" s="19">
        <v>554.29999999999995</v>
      </c>
      <c r="E39" s="147"/>
      <c r="F39" s="19">
        <v>1608.2</v>
      </c>
      <c r="G39" s="16">
        <f t="shared" si="2"/>
        <v>1608.2</v>
      </c>
      <c r="H39" s="59" t="e">
        <f t="shared" si="3"/>
        <v>#DIV/0!</v>
      </c>
    </row>
    <row r="40" spans="1:11" ht="29.25" customHeight="1">
      <c r="A40" s="143"/>
      <c r="B40" s="18" t="s">
        <v>139</v>
      </c>
      <c r="C40" s="143"/>
      <c r="D40" s="19">
        <v>748.2</v>
      </c>
      <c r="E40" s="147">
        <v>820</v>
      </c>
      <c r="F40" s="19">
        <v>1146.4000000000001</v>
      </c>
      <c r="G40" s="16">
        <f t="shared" si="2"/>
        <v>326.40000000000009</v>
      </c>
      <c r="H40" s="16">
        <f t="shared" si="3"/>
        <v>139.80487804878049</v>
      </c>
    </row>
    <row r="41" spans="1:11" ht="30" customHeight="1">
      <c r="A41" s="143"/>
      <c r="B41" s="22" t="s">
        <v>140</v>
      </c>
      <c r="C41" s="143"/>
      <c r="D41" s="19">
        <v>1.9</v>
      </c>
      <c r="E41" s="147">
        <v>220</v>
      </c>
      <c r="F41" s="19">
        <v>0</v>
      </c>
      <c r="G41" s="16">
        <f t="shared" si="2"/>
        <v>-220</v>
      </c>
      <c r="H41" s="16">
        <f t="shared" si="3"/>
        <v>0</v>
      </c>
    </row>
    <row r="42" spans="1:11" ht="31.5" customHeight="1">
      <c r="A42" s="143"/>
      <c r="B42" s="22" t="s">
        <v>180</v>
      </c>
      <c r="C42" s="143"/>
      <c r="D42" s="19">
        <v>163.19999999999999</v>
      </c>
      <c r="E42" s="147">
        <v>464.6</v>
      </c>
      <c r="F42" s="19">
        <v>298.2</v>
      </c>
      <c r="G42" s="16">
        <f t="shared" si="2"/>
        <v>-166.40000000000003</v>
      </c>
      <c r="H42" s="16">
        <f t="shared" si="3"/>
        <v>64.184244511407655</v>
      </c>
    </row>
    <row r="43" spans="1:11" ht="42" customHeight="1">
      <c r="A43" s="143"/>
      <c r="B43" s="22" t="s">
        <v>498</v>
      </c>
      <c r="C43" s="143"/>
      <c r="D43" s="19"/>
      <c r="E43" s="147">
        <v>68.599999999999994</v>
      </c>
      <c r="F43" s="19"/>
      <c r="G43" s="16">
        <f t="shared" si="2"/>
        <v>-68.599999999999994</v>
      </c>
      <c r="H43" s="16">
        <f t="shared" si="3"/>
        <v>0</v>
      </c>
    </row>
    <row r="44" spans="1:11" ht="63" customHeight="1">
      <c r="A44" s="23"/>
      <c r="B44" s="18" t="s">
        <v>213</v>
      </c>
      <c r="C44" s="12"/>
      <c r="D44" s="19">
        <v>641.29999999999995</v>
      </c>
      <c r="E44" s="147">
        <v>510</v>
      </c>
      <c r="F44" s="19">
        <v>1357.1</v>
      </c>
      <c r="G44" s="16">
        <f t="shared" si="2"/>
        <v>847.09999999999991</v>
      </c>
      <c r="H44" s="16">
        <f t="shared" si="3"/>
        <v>266.09803921568624</v>
      </c>
    </row>
    <row r="45" spans="1:11" ht="39" customHeight="1">
      <c r="A45" s="23"/>
      <c r="B45" s="18" t="s">
        <v>163</v>
      </c>
      <c r="C45" s="12"/>
      <c r="D45" s="19">
        <v>99.5</v>
      </c>
      <c r="E45" s="147">
        <v>28</v>
      </c>
      <c r="F45" s="19">
        <v>213.9</v>
      </c>
      <c r="G45" s="16">
        <f t="shared" si="2"/>
        <v>185.9</v>
      </c>
      <c r="H45" s="16">
        <f t="shared" si="3"/>
        <v>763.92857142857144</v>
      </c>
    </row>
    <row r="46" spans="1:11" ht="35.25" customHeight="1">
      <c r="A46" s="209" t="s">
        <v>81</v>
      </c>
      <c r="B46" s="209"/>
      <c r="C46" s="143">
        <v>1015</v>
      </c>
      <c r="D46" s="15">
        <f>SUM(D47:D79)</f>
        <v>9417.3999999999978</v>
      </c>
      <c r="E46" s="148">
        <f>SUM(E47:E79)</f>
        <v>12641.9</v>
      </c>
      <c r="F46" s="15">
        <f>SUM(F47:F79)</f>
        <v>13584.2</v>
      </c>
      <c r="G46" s="20">
        <f t="shared" si="2"/>
        <v>942.30000000000109</v>
      </c>
      <c r="H46" s="20">
        <f t="shared" si="3"/>
        <v>107.45378463680302</v>
      </c>
      <c r="I46" s="21"/>
      <c r="J46" s="21"/>
      <c r="K46" s="21"/>
    </row>
    <row r="47" spans="1:11" ht="31.5" customHeight="1">
      <c r="A47" s="143"/>
      <c r="B47" s="24" t="s">
        <v>146</v>
      </c>
      <c r="C47" s="143"/>
      <c r="D47" s="19">
        <v>36.9</v>
      </c>
      <c r="E47" s="19">
        <v>85</v>
      </c>
      <c r="F47" s="19">
        <v>87.1</v>
      </c>
      <c r="G47" s="16">
        <f t="shared" si="2"/>
        <v>2.0999999999999943</v>
      </c>
      <c r="H47" s="16">
        <f t="shared" si="3"/>
        <v>102.47058823529412</v>
      </c>
      <c r="K47" s="21"/>
    </row>
    <row r="48" spans="1:11" ht="30" customHeight="1">
      <c r="A48" s="143"/>
      <c r="B48" s="18" t="s">
        <v>147</v>
      </c>
      <c r="C48" s="143"/>
      <c r="D48" s="19">
        <v>172.4</v>
      </c>
      <c r="E48" s="19">
        <v>275</v>
      </c>
      <c r="F48" s="19">
        <v>447.9</v>
      </c>
      <c r="G48" s="16">
        <f t="shared" si="2"/>
        <v>172.89999999999998</v>
      </c>
      <c r="H48" s="16">
        <f t="shared" si="3"/>
        <v>162.87272727272725</v>
      </c>
    </row>
    <row r="49" spans="1:14" ht="28.5" customHeight="1">
      <c r="A49" s="143"/>
      <c r="B49" s="18" t="s">
        <v>148</v>
      </c>
      <c r="C49" s="143"/>
      <c r="D49" s="19">
        <v>78</v>
      </c>
      <c r="E49" s="19"/>
      <c r="F49" s="19">
        <v>0</v>
      </c>
      <c r="G49" s="16">
        <f t="shared" si="2"/>
        <v>0</v>
      </c>
      <c r="H49" s="59" t="e">
        <f t="shared" si="3"/>
        <v>#DIV/0!</v>
      </c>
    </row>
    <row r="50" spans="1:14" ht="25.5" customHeight="1">
      <c r="A50" s="143"/>
      <c r="B50" s="18" t="s">
        <v>149</v>
      </c>
      <c r="C50" s="143"/>
      <c r="D50" s="19">
        <v>45.8</v>
      </c>
      <c r="E50" s="19">
        <v>76.400000000000006</v>
      </c>
      <c r="F50" s="19">
        <v>105.7</v>
      </c>
      <c r="G50" s="16">
        <f t="shared" si="2"/>
        <v>29.299999999999997</v>
      </c>
      <c r="H50" s="16">
        <f t="shared" si="3"/>
        <v>138.35078534031413</v>
      </c>
    </row>
    <row r="51" spans="1:14" ht="27.75" customHeight="1">
      <c r="A51" s="143"/>
      <c r="B51" s="18" t="s">
        <v>150</v>
      </c>
      <c r="C51" s="143"/>
      <c r="D51" s="19">
        <v>225.9</v>
      </c>
      <c r="E51" s="19">
        <v>345</v>
      </c>
      <c r="F51" s="19">
        <v>177.5</v>
      </c>
      <c r="G51" s="16">
        <f t="shared" si="2"/>
        <v>-167.5</v>
      </c>
      <c r="H51" s="16">
        <f t="shared" si="3"/>
        <v>51.449275362318836</v>
      </c>
    </row>
    <row r="52" spans="1:14" ht="35.25" customHeight="1">
      <c r="A52" s="143"/>
      <c r="B52" s="18" t="s">
        <v>182</v>
      </c>
      <c r="C52" s="143"/>
      <c r="D52" s="19">
        <v>95.5</v>
      </c>
      <c r="E52" s="19">
        <v>122</v>
      </c>
      <c r="F52" s="19">
        <f>85.9+6.6</f>
        <v>92.5</v>
      </c>
      <c r="G52" s="16">
        <f t="shared" si="2"/>
        <v>-29.5</v>
      </c>
      <c r="H52" s="16">
        <f t="shared" si="3"/>
        <v>75.819672131147541</v>
      </c>
    </row>
    <row r="53" spans="1:14" ht="35.25" customHeight="1">
      <c r="A53" s="143"/>
      <c r="B53" s="24" t="s">
        <v>151</v>
      </c>
      <c r="C53" s="143"/>
      <c r="D53" s="19">
        <v>240.3</v>
      </c>
      <c r="E53" s="19">
        <v>464</v>
      </c>
      <c r="F53" s="19">
        <v>961.2</v>
      </c>
      <c r="G53" s="16">
        <f t="shared" si="2"/>
        <v>497.20000000000005</v>
      </c>
      <c r="H53" s="16">
        <f t="shared" si="3"/>
        <v>207.15517241379314</v>
      </c>
    </row>
    <row r="54" spans="1:14" ht="28.5" customHeight="1">
      <c r="A54" s="25"/>
      <c r="B54" s="24" t="s">
        <v>152</v>
      </c>
      <c r="C54" s="12"/>
      <c r="D54" s="19">
        <v>34.1</v>
      </c>
      <c r="E54" s="19">
        <v>100</v>
      </c>
      <c r="F54" s="19">
        <v>165.8</v>
      </c>
      <c r="G54" s="16">
        <f t="shared" si="2"/>
        <v>65.800000000000011</v>
      </c>
      <c r="H54" s="16">
        <f t="shared" si="3"/>
        <v>165.8</v>
      </c>
    </row>
    <row r="55" spans="1:14" ht="28.5" customHeight="1">
      <c r="A55" s="25"/>
      <c r="B55" s="24" t="s">
        <v>272</v>
      </c>
      <c r="C55" s="12"/>
      <c r="D55" s="19">
        <v>12.6</v>
      </c>
      <c r="E55" s="19">
        <v>25.2</v>
      </c>
      <c r="F55" s="19">
        <v>35.1</v>
      </c>
      <c r="G55" s="16">
        <f t="shared" si="2"/>
        <v>9.9000000000000021</v>
      </c>
      <c r="H55" s="16">
        <f t="shared" si="3"/>
        <v>139.28571428571431</v>
      </c>
    </row>
    <row r="56" spans="1:14" ht="27" customHeight="1">
      <c r="A56" s="25"/>
      <c r="B56" s="24" t="s">
        <v>165</v>
      </c>
      <c r="C56" s="12"/>
      <c r="D56" s="19">
        <v>3.1</v>
      </c>
      <c r="E56" s="19">
        <v>3.2</v>
      </c>
      <c r="F56" s="19">
        <v>5.3</v>
      </c>
      <c r="G56" s="16">
        <f t="shared" si="2"/>
        <v>2.0999999999999996</v>
      </c>
      <c r="H56" s="16">
        <f t="shared" si="3"/>
        <v>165.62499999999997</v>
      </c>
    </row>
    <row r="57" spans="1:14" ht="28.5" customHeight="1">
      <c r="A57" s="25"/>
      <c r="B57" s="18" t="s">
        <v>214</v>
      </c>
      <c r="C57" s="12"/>
      <c r="D57" s="19">
        <v>84.2</v>
      </c>
      <c r="E57" s="19">
        <v>96.4</v>
      </c>
      <c r="F57" s="19">
        <v>108.2</v>
      </c>
      <c r="G57" s="16">
        <f t="shared" si="2"/>
        <v>11.799999999999997</v>
      </c>
      <c r="H57" s="16">
        <f t="shared" si="3"/>
        <v>112.24066390041494</v>
      </c>
    </row>
    <row r="58" spans="1:14" ht="28.5" customHeight="1">
      <c r="A58" s="25"/>
      <c r="B58" s="18" t="s">
        <v>154</v>
      </c>
      <c r="C58" s="12"/>
      <c r="D58" s="19">
        <v>12.8</v>
      </c>
      <c r="E58" s="19">
        <v>70.400000000000006</v>
      </c>
      <c r="F58" s="19">
        <v>11.4</v>
      </c>
      <c r="G58" s="16">
        <f t="shared" si="2"/>
        <v>-59.000000000000007</v>
      </c>
      <c r="H58" s="16">
        <f t="shared" si="3"/>
        <v>16.193181818181817</v>
      </c>
    </row>
    <row r="59" spans="1:14" ht="39" customHeight="1">
      <c r="A59" s="25"/>
      <c r="B59" s="24" t="s">
        <v>167</v>
      </c>
      <c r="C59" s="12"/>
      <c r="D59" s="19">
        <v>11</v>
      </c>
      <c r="E59" s="19">
        <v>150</v>
      </c>
      <c r="F59" s="19">
        <v>48.8</v>
      </c>
      <c r="G59" s="16">
        <f t="shared" si="2"/>
        <v>-101.2</v>
      </c>
      <c r="H59" s="16">
        <f t="shared" si="3"/>
        <v>32.533333333333331</v>
      </c>
    </row>
    <row r="60" spans="1:14" ht="45.75" customHeight="1">
      <c r="A60" s="25"/>
      <c r="B60" s="24" t="s">
        <v>169</v>
      </c>
      <c r="C60" s="12"/>
      <c r="D60" s="19">
        <v>15.6</v>
      </c>
      <c r="E60" s="19">
        <v>35</v>
      </c>
      <c r="F60" s="19">
        <v>93.6</v>
      </c>
      <c r="G60" s="16">
        <f t="shared" si="2"/>
        <v>58.599999999999994</v>
      </c>
      <c r="H60" s="16">
        <f t="shared" si="3"/>
        <v>267.42857142857139</v>
      </c>
    </row>
    <row r="61" spans="1:14" ht="27.75" customHeight="1">
      <c r="A61" s="25"/>
      <c r="B61" s="26" t="s">
        <v>215</v>
      </c>
      <c r="C61" s="12"/>
      <c r="D61" s="19">
        <v>462.2</v>
      </c>
      <c r="E61" s="19">
        <v>2655.2</v>
      </c>
      <c r="F61" s="19">
        <v>3220.7</v>
      </c>
      <c r="G61" s="16">
        <f t="shared" si="2"/>
        <v>565.5</v>
      </c>
      <c r="H61" s="16">
        <f t="shared" si="3"/>
        <v>121.29783067188913</v>
      </c>
      <c r="N61" s="21"/>
    </row>
    <row r="62" spans="1:14" ht="42.75" customHeight="1">
      <c r="A62" s="25"/>
      <c r="B62" s="18" t="s">
        <v>183</v>
      </c>
      <c r="C62" s="12"/>
      <c r="D62" s="19">
        <v>4.3</v>
      </c>
      <c r="E62" s="19">
        <v>9</v>
      </c>
      <c r="F62" s="19">
        <v>0.8</v>
      </c>
      <c r="G62" s="16">
        <f t="shared" si="2"/>
        <v>-8.1999999999999993</v>
      </c>
      <c r="H62" s="16">
        <f t="shared" si="3"/>
        <v>8.8888888888888893</v>
      </c>
    </row>
    <row r="63" spans="1:14" ht="32.25" customHeight="1">
      <c r="A63" s="25"/>
      <c r="B63" s="18" t="s">
        <v>443</v>
      </c>
      <c r="C63" s="12"/>
      <c r="D63" s="19"/>
      <c r="E63" s="19">
        <v>1.5</v>
      </c>
      <c r="F63" s="19">
        <v>17.2</v>
      </c>
      <c r="G63" s="16">
        <f t="shared" si="2"/>
        <v>15.7</v>
      </c>
      <c r="H63" s="16">
        <f t="shared" si="3"/>
        <v>1146.6666666666667</v>
      </c>
    </row>
    <row r="64" spans="1:14" ht="30.75" customHeight="1">
      <c r="A64" s="25"/>
      <c r="B64" s="18" t="s">
        <v>238</v>
      </c>
      <c r="C64" s="12"/>
      <c r="D64" s="19">
        <v>4.5999999999999996</v>
      </c>
      <c r="E64" s="19">
        <v>15.2</v>
      </c>
      <c r="F64" s="19">
        <v>32.299999999999997</v>
      </c>
      <c r="G64" s="16">
        <f t="shared" si="2"/>
        <v>17.099999999999998</v>
      </c>
      <c r="H64" s="16">
        <f t="shared" si="3"/>
        <v>212.5</v>
      </c>
    </row>
    <row r="65" spans="1:12" ht="30" customHeight="1">
      <c r="A65" s="25"/>
      <c r="B65" s="24" t="s">
        <v>172</v>
      </c>
      <c r="C65" s="12"/>
      <c r="D65" s="19">
        <v>4430.3999999999996</v>
      </c>
      <c r="E65" s="19">
        <v>5854.6</v>
      </c>
      <c r="F65" s="19">
        <v>5732.4</v>
      </c>
      <c r="G65" s="16">
        <f t="shared" si="2"/>
        <v>-122.20000000000073</v>
      </c>
      <c r="H65" s="16">
        <f t="shared" si="3"/>
        <v>97.912752365661177</v>
      </c>
    </row>
    <row r="66" spans="1:12" ht="31.5" customHeight="1">
      <c r="A66" s="25"/>
      <c r="B66" s="27" t="s">
        <v>173</v>
      </c>
      <c r="C66" s="12"/>
      <c r="D66" s="19">
        <v>336.2</v>
      </c>
      <c r="E66" s="19">
        <v>405.1</v>
      </c>
      <c r="F66" s="19">
        <v>432.6</v>
      </c>
      <c r="G66" s="16">
        <f t="shared" si="2"/>
        <v>27.5</v>
      </c>
      <c r="H66" s="16">
        <f t="shared" si="3"/>
        <v>106.78844729696371</v>
      </c>
      <c r="K66" s="34"/>
    </row>
    <row r="67" spans="1:12" ht="32.25" customHeight="1">
      <c r="A67" s="25"/>
      <c r="B67" s="27" t="s">
        <v>174</v>
      </c>
      <c r="C67" s="12"/>
      <c r="D67" s="19">
        <v>2914.8</v>
      </c>
      <c r="E67" s="19">
        <v>1602.9</v>
      </c>
      <c r="F67" s="19">
        <v>1490.6</v>
      </c>
      <c r="G67" s="16">
        <f t="shared" si="2"/>
        <v>-112.30000000000018</v>
      </c>
      <c r="H67" s="16">
        <f t="shared" si="3"/>
        <v>92.993948468401015</v>
      </c>
      <c r="K67" s="34"/>
    </row>
    <row r="68" spans="1:12" ht="32.25" customHeight="1">
      <c r="A68" s="25"/>
      <c r="B68" s="27" t="s">
        <v>591</v>
      </c>
      <c r="C68" s="12"/>
      <c r="D68" s="19"/>
      <c r="E68" s="19">
        <v>2.4</v>
      </c>
      <c r="F68" s="19">
        <v>0</v>
      </c>
      <c r="G68" s="16">
        <f t="shared" si="2"/>
        <v>-2.4</v>
      </c>
      <c r="H68" s="16">
        <f t="shared" si="3"/>
        <v>0</v>
      </c>
      <c r="K68" s="34"/>
    </row>
    <row r="69" spans="1:12" ht="27.75" customHeight="1">
      <c r="A69" s="25"/>
      <c r="B69" s="27" t="s">
        <v>175</v>
      </c>
      <c r="C69" s="12"/>
      <c r="D69" s="19">
        <v>150.4</v>
      </c>
      <c r="E69" s="19">
        <v>245.4</v>
      </c>
      <c r="F69" s="19">
        <v>245.8</v>
      </c>
      <c r="G69" s="16">
        <f t="shared" si="2"/>
        <v>0.40000000000000568</v>
      </c>
      <c r="H69" s="16">
        <f t="shared" si="3"/>
        <v>100.16299918500408</v>
      </c>
      <c r="K69" s="34"/>
    </row>
    <row r="70" spans="1:12" ht="27.75" customHeight="1">
      <c r="A70" s="25"/>
      <c r="B70" s="27" t="s">
        <v>484</v>
      </c>
      <c r="C70" s="12"/>
      <c r="D70" s="19">
        <v>16</v>
      </c>
      <c r="E70" s="19"/>
      <c r="F70" s="19"/>
      <c r="G70" s="16">
        <f t="shared" si="2"/>
        <v>0</v>
      </c>
      <c r="H70" s="59" t="e">
        <f t="shared" si="3"/>
        <v>#DIV/0!</v>
      </c>
      <c r="K70" s="34"/>
    </row>
    <row r="71" spans="1:12" ht="40.5" customHeight="1">
      <c r="A71" s="25"/>
      <c r="B71" s="22" t="s">
        <v>652</v>
      </c>
      <c r="C71" s="12"/>
      <c r="D71" s="19"/>
      <c r="E71" s="19"/>
      <c r="F71" s="19">
        <v>26.7</v>
      </c>
      <c r="G71" s="16">
        <f t="shared" si="2"/>
        <v>26.7</v>
      </c>
      <c r="H71" s="59" t="e">
        <f t="shared" si="3"/>
        <v>#DIV/0!</v>
      </c>
      <c r="K71" s="34"/>
    </row>
    <row r="72" spans="1:12" ht="33.75" customHeight="1">
      <c r="A72" s="25"/>
      <c r="B72" s="22" t="s">
        <v>277</v>
      </c>
      <c r="C72" s="12"/>
      <c r="D72" s="19"/>
      <c r="E72" s="19"/>
      <c r="F72" s="19">
        <v>1.5</v>
      </c>
      <c r="G72" s="16">
        <f t="shared" si="2"/>
        <v>1.5</v>
      </c>
      <c r="H72" s="59" t="e">
        <f t="shared" si="3"/>
        <v>#DIV/0!</v>
      </c>
      <c r="K72" s="34"/>
    </row>
    <row r="73" spans="1:12" ht="40.5" customHeight="1">
      <c r="A73" s="25"/>
      <c r="B73" s="22" t="s">
        <v>654</v>
      </c>
      <c r="C73" s="12"/>
      <c r="D73" s="19"/>
      <c r="E73" s="19"/>
      <c r="F73" s="19">
        <v>13.6</v>
      </c>
      <c r="G73" s="16">
        <f t="shared" si="2"/>
        <v>13.6</v>
      </c>
      <c r="H73" s="59" t="e">
        <f t="shared" si="3"/>
        <v>#DIV/0!</v>
      </c>
      <c r="K73" s="34"/>
    </row>
    <row r="74" spans="1:12" ht="27" customHeight="1">
      <c r="A74" s="25"/>
      <c r="B74" s="18" t="s">
        <v>486</v>
      </c>
      <c r="C74" s="12"/>
      <c r="D74" s="19">
        <v>9</v>
      </c>
      <c r="E74" s="19"/>
      <c r="F74" s="19"/>
      <c r="G74" s="16">
        <f t="shared" ref="G74:G120" si="4">F74-E74</f>
        <v>0</v>
      </c>
      <c r="H74" s="59" t="e">
        <f t="shared" ref="H74:H120" si="5">(F74/E74)*100</f>
        <v>#DIV/0!</v>
      </c>
      <c r="K74" s="34"/>
      <c r="L74" s="21"/>
    </row>
    <row r="75" spans="1:12" ht="33" customHeight="1">
      <c r="A75" s="25"/>
      <c r="B75" s="18" t="s">
        <v>483</v>
      </c>
      <c r="C75" s="12"/>
      <c r="D75" s="19">
        <v>4.8</v>
      </c>
      <c r="E75" s="19"/>
      <c r="F75" s="19"/>
      <c r="G75" s="16">
        <f t="shared" si="4"/>
        <v>0</v>
      </c>
      <c r="H75" s="59" t="e">
        <f t="shared" si="5"/>
        <v>#DIV/0!</v>
      </c>
      <c r="K75" s="34"/>
      <c r="L75" s="21"/>
    </row>
    <row r="76" spans="1:12" ht="31.5" customHeight="1">
      <c r="A76" s="25"/>
      <c r="B76" s="27" t="s">
        <v>243</v>
      </c>
      <c r="C76" s="12"/>
      <c r="D76" s="19">
        <v>1.6</v>
      </c>
      <c r="E76" s="19">
        <v>3</v>
      </c>
      <c r="F76" s="19">
        <v>5.8</v>
      </c>
      <c r="G76" s="16">
        <f t="shared" si="4"/>
        <v>2.8</v>
      </c>
      <c r="H76" s="16">
        <f t="shared" si="5"/>
        <v>193.33333333333334</v>
      </c>
    </row>
    <row r="77" spans="1:12" ht="31.5" customHeight="1">
      <c r="A77" s="25"/>
      <c r="B77" s="27" t="s">
        <v>447</v>
      </c>
      <c r="C77" s="12"/>
      <c r="D77" s="19">
        <v>5.4</v>
      </c>
      <c r="E77" s="19"/>
      <c r="F77" s="19">
        <v>22.9</v>
      </c>
      <c r="G77" s="16">
        <f t="shared" si="4"/>
        <v>22.9</v>
      </c>
      <c r="H77" s="59" t="e">
        <f t="shared" si="5"/>
        <v>#DIV/0!</v>
      </c>
    </row>
    <row r="78" spans="1:12" ht="31.5" customHeight="1">
      <c r="A78" s="25"/>
      <c r="B78" s="27" t="s">
        <v>653</v>
      </c>
      <c r="C78" s="12"/>
      <c r="D78" s="19"/>
      <c r="E78" s="19"/>
      <c r="F78" s="19">
        <v>1.2</v>
      </c>
      <c r="G78" s="16">
        <f t="shared" si="4"/>
        <v>1.2</v>
      </c>
      <c r="H78" s="59" t="e">
        <f t="shared" si="5"/>
        <v>#DIV/0!</v>
      </c>
    </row>
    <row r="79" spans="1:12" ht="31.5" customHeight="1">
      <c r="A79" s="25"/>
      <c r="B79" s="27" t="s">
        <v>279</v>
      </c>
      <c r="C79" s="12"/>
      <c r="D79" s="19">
        <v>9.5</v>
      </c>
      <c r="E79" s="19"/>
      <c r="F79" s="19"/>
      <c r="G79" s="16">
        <f t="shared" si="4"/>
        <v>0</v>
      </c>
      <c r="H79" s="59" t="e">
        <f t="shared" si="5"/>
        <v>#DIV/0!</v>
      </c>
    </row>
    <row r="80" spans="1:12" s="5" customFormat="1" ht="39" customHeight="1">
      <c r="A80" s="202" t="s">
        <v>82</v>
      </c>
      <c r="B80" s="202"/>
      <c r="C80" s="28"/>
      <c r="D80" s="15"/>
      <c r="E80" s="15"/>
      <c r="F80" s="15"/>
      <c r="G80" s="16"/>
      <c r="H80" s="16"/>
    </row>
    <row r="81" spans="1:13" s="5" customFormat="1" ht="32.25" customHeight="1">
      <c r="A81" s="209" t="s">
        <v>80</v>
      </c>
      <c r="B81" s="209"/>
      <c r="C81" s="143">
        <v>1021</v>
      </c>
      <c r="D81" s="15">
        <f>SUM(D82:D85)</f>
        <v>35.700000000000003</v>
      </c>
      <c r="E81" s="15">
        <f>SUM(E82:E85)</f>
        <v>70</v>
      </c>
      <c r="F81" s="15">
        <f>SUM(F82:F85)</f>
        <v>113.39999999999999</v>
      </c>
      <c r="G81" s="16">
        <f t="shared" si="4"/>
        <v>43.399999999999991</v>
      </c>
      <c r="H81" s="16">
        <f t="shared" si="5"/>
        <v>162</v>
      </c>
    </row>
    <row r="82" spans="1:13" s="5" customFormat="1" ht="73.5" customHeight="1">
      <c r="A82" s="143"/>
      <c r="B82" s="18" t="s">
        <v>213</v>
      </c>
      <c r="C82" s="143"/>
      <c r="D82" s="19">
        <v>3.1</v>
      </c>
      <c r="E82" s="19">
        <v>40</v>
      </c>
      <c r="F82" s="19">
        <v>17.2</v>
      </c>
      <c r="G82" s="16">
        <f t="shared" si="4"/>
        <v>-22.8</v>
      </c>
      <c r="H82" s="16">
        <f t="shared" si="5"/>
        <v>43</v>
      </c>
      <c r="K82" s="29"/>
    </row>
    <row r="83" spans="1:13" s="5" customFormat="1" ht="29.25" customHeight="1">
      <c r="A83" s="143"/>
      <c r="B83" s="18" t="s">
        <v>180</v>
      </c>
      <c r="C83" s="143"/>
      <c r="D83" s="19"/>
      <c r="E83" s="19"/>
      <c r="F83" s="19">
        <v>28.6</v>
      </c>
      <c r="G83" s="16">
        <f t="shared" si="4"/>
        <v>28.6</v>
      </c>
      <c r="H83" s="59" t="e">
        <f t="shared" si="5"/>
        <v>#DIV/0!</v>
      </c>
      <c r="K83" s="29"/>
    </row>
    <row r="84" spans="1:13" s="5" customFormat="1" ht="30" customHeight="1">
      <c r="A84" s="143"/>
      <c r="B84" s="18" t="s">
        <v>516</v>
      </c>
      <c r="C84" s="143"/>
      <c r="D84" s="19">
        <v>32.6</v>
      </c>
      <c r="E84" s="19"/>
      <c r="F84" s="19"/>
      <c r="G84" s="16">
        <f t="shared" si="4"/>
        <v>0</v>
      </c>
      <c r="H84" s="59" t="e">
        <f t="shared" si="5"/>
        <v>#DIV/0!</v>
      </c>
      <c r="K84" s="29"/>
    </row>
    <row r="85" spans="1:13" s="5" customFormat="1" ht="30" customHeight="1">
      <c r="A85" s="143"/>
      <c r="B85" s="18" t="s">
        <v>163</v>
      </c>
      <c r="C85" s="143"/>
      <c r="D85" s="19"/>
      <c r="E85" s="19">
        <v>30</v>
      </c>
      <c r="F85" s="19">
        <v>67.599999999999994</v>
      </c>
      <c r="G85" s="16">
        <f t="shared" si="4"/>
        <v>37.599999999999994</v>
      </c>
      <c r="H85" s="30">
        <f t="shared" si="5"/>
        <v>225.33333333333329</v>
      </c>
    </row>
    <row r="86" spans="1:13" s="5" customFormat="1" ht="31.5" customHeight="1">
      <c r="A86" s="209" t="s">
        <v>83</v>
      </c>
      <c r="B86" s="209"/>
      <c r="C86" s="28">
        <v>1025</v>
      </c>
      <c r="D86" s="15">
        <f>SUM(D87:D109)</f>
        <v>787.4</v>
      </c>
      <c r="E86" s="148">
        <f>SUM(E87:E109)</f>
        <v>1016.1999999999999</v>
      </c>
      <c r="F86" s="15">
        <f>SUM(F87:F109)</f>
        <v>1135.3999999999996</v>
      </c>
      <c r="G86" s="16">
        <f t="shared" si="4"/>
        <v>119.1999999999997</v>
      </c>
      <c r="H86" s="16">
        <f t="shared" si="5"/>
        <v>111.72997441448531</v>
      </c>
      <c r="I86" s="5">
        <v>1135.4000000000001</v>
      </c>
      <c r="J86" s="29"/>
    </row>
    <row r="87" spans="1:13" s="5" customFormat="1" ht="31.5" customHeight="1">
      <c r="A87" s="143"/>
      <c r="B87" s="18" t="s">
        <v>154</v>
      </c>
      <c r="C87" s="28"/>
      <c r="D87" s="19">
        <v>48.9</v>
      </c>
      <c r="E87" s="19">
        <v>9.1999999999999993</v>
      </c>
      <c r="F87" s="19">
        <v>108.1</v>
      </c>
      <c r="G87" s="16">
        <f t="shared" si="4"/>
        <v>98.899999999999991</v>
      </c>
      <c r="H87" s="16">
        <f t="shared" si="5"/>
        <v>1175</v>
      </c>
      <c r="J87" s="29"/>
    </row>
    <row r="88" spans="1:13" s="5" customFormat="1" ht="31.5" customHeight="1">
      <c r="A88" s="143"/>
      <c r="B88" s="18" t="s">
        <v>146</v>
      </c>
      <c r="C88" s="28"/>
      <c r="D88" s="19"/>
      <c r="E88" s="19"/>
      <c r="F88" s="19">
        <v>4.2</v>
      </c>
      <c r="G88" s="16">
        <f t="shared" si="4"/>
        <v>4.2</v>
      </c>
      <c r="H88" s="59" t="e">
        <f t="shared" si="5"/>
        <v>#DIV/0!</v>
      </c>
      <c r="J88" s="29"/>
    </row>
    <row r="89" spans="1:13" s="5" customFormat="1" ht="31.5" customHeight="1">
      <c r="A89" s="143"/>
      <c r="B89" s="18" t="s">
        <v>159</v>
      </c>
      <c r="C89" s="28"/>
      <c r="D89" s="19">
        <v>4.5999999999999996</v>
      </c>
      <c r="E89" s="19">
        <v>9.6</v>
      </c>
      <c r="F89" s="19">
        <v>45.5</v>
      </c>
      <c r="G89" s="16">
        <f t="shared" si="4"/>
        <v>35.9</v>
      </c>
      <c r="H89" s="16">
        <f t="shared" si="5"/>
        <v>473.95833333333337</v>
      </c>
      <c r="M89" s="29"/>
    </row>
    <row r="90" spans="1:13" s="5" customFormat="1" ht="52.5" customHeight="1">
      <c r="A90" s="143"/>
      <c r="B90" s="18" t="s">
        <v>169</v>
      </c>
      <c r="C90" s="28"/>
      <c r="D90" s="19">
        <v>143.9</v>
      </c>
      <c r="E90" s="19">
        <v>110</v>
      </c>
      <c r="F90" s="19">
        <v>74.5</v>
      </c>
      <c r="G90" s="16">
        <f t="shared" si="4"/>
        <v>-35.5</v>
      </c>
      <c r="H90" s="16">
        <f t="shared" si="5"/>
        <v>67.72727272727272</v>
      </c>
    </row>
    <row r="91" spans="1:13" s="5" customFormat="1" ht="28.5" customHeight="1">
      <c r="A91" s="143"/>
      <c r="B91" s="18" t="s">
        <v>267</v>
      </c>
      <c r="C91" s="28"/>
      <c r="D91" s="19">
        <v>193</v>
      </c>
      <c r="E91" s="19">
        <v>600</v>
      </c>
      <c r="F91" s="19">
        <v>447</v>
      </c>
      <c r="G91" s="16">
        <f t="shared" si="4"/>
        <v>-153</v>
      </c>
      <c r="H91" s="16">
        <f t="shared" si="5"/>
        <v>74.5</v>
      </c>
    </row>
    <row r="92" spans="1:13" s="5" customFormat="1" ht="46.5" customHeight="1">
      <c r="A92" s="143"/>
      <c r="B92" s="22" t="s">
        <v>216</v>
      </c>
      <c r="C92" s="28"/>
      <c r="D92" s="19"/>
      <c r="E92" s="19">
        <v>30</v>
      </c>
      <c r="F92" s="19">
        <v>15.6</v>
      </c>
      <c r="G92" s="16">
        <f t="shared" si="4"/>
        <v>-14.4</v>
      </c>
      <c r="H92" s="16">
        <f t="shared" si="5"/>
        <v>52</v>
      </c>
    </row>
    <row r="93" spans="1:13" s="5" customFormat="1" ht="46.5" customHeight="1">
      <c r="A93" s="143"/>
      <c r="B93" s="22" t="s">
        <v>650</v>
      </c>
      <c r="C93" s="28"/>
      <c r="D93" s="19"/>
      <c r="E93" s="19"/>
      <c r="F93" s="19">
        <v>141.69999999999999</v>
      </c>
      <c r="G93" s="16">
        <f t="shared" si="4"/>
        <v>141.69999999999999</v>
      </c>
      <c r="H93" s="59" t="e">
        <f t="shared" si="5"/>
        <v>#DIV/0!</v>
      </c>
    </row>
    <row r="94" spans="1:13" s="5" customFormat="1" ht="28.5" customHeight="1">
      <c r="A94" s="143"/>
      <c r="B94" s="18" t="s">
        <v>203</v>
      </c>
      <c r="C94" s="28"/>
      <c r="D94" s="19">
        <v>6.3</v>
      </c>
      <c r="E94" s="19">
        <v>9</v>
      </c>
      <c r="F94" s="19">
        <v>11.3</v>
      </c>
      <c r="G94" s="16">
        <f t="shared" si="4"/>
        <v>2.3000000000000007</v>
      </c>
      <c r="H94" s="16">
        <f t="shared" si="5"/>
        <v>125.55555555555556</v>
      </c>
    </row>
    <row r="95" spans="1:13" s="5" customFormat="1" ht="27" customHeight="1">
      <c r="A95" s="143"/>
      <c r="B95" s="18" t="s">
        <v>172</v>
      </c>
      <c r="C95" s="28"/>
      <c r="D95" s="19">
        <v>64.7</v>
      </c>
      <c r="E95" s="19">
        <v>144.69999999999999</v>
      </c>
      <c r="F95" s="19">
        <v>79.8</v>
      </c>
      <c r="G95" s="16">
        <f t="shared" si="4"/>
        <v>-64.899999999999991</v>
      </c>
      <c r="H95" s="16">
        <f t="shared" si="5"/>
        <v>55.148583275742922</v>
      </c>
    </row>
    <row r="96" spans="1:13" s="5" customFormat="1" ht="28.5" customHeight="1">
      <c r="A96" s="143"/>
      <c r="B96" s="18" t="s">
        <v>173</v>
      </c>
      <c r="C96" s="28"/>
      <c r="D96" s="19">
        <v>6.5</v>
      </c>
      <c r="E96" s="19">
        <v>10.3</v>
      </c>
      <c r="F96" s="19">
        <v>7.6</v>
      </c>
      <c r="G96" s="16">
        <f t="shared" si="4"/>
        <v>-2.7000000000000011</v>
      </c>
      <c r="H96" s="16">
        <f t="shared" si="5"/>
        <v>73.78640776699028</v>
      </c>
    </row>
    <row r="97" spans="1:10" s="5" customFormat="1" ht="30" customHeight="1">
      <c r="A97" s="143"/>
      <c r="B97" s="18" t="s">
        <v>174</v>
      </c>
      <c r="C97" s="28"/>
      <c r="D97" s="19">
        <v>60.2</v>
      </c>
      <c r="E97" s="19">
        <v>63.1</v>
      </c>
      <c r="F97" s="19">
        <v>99.4</v>
      </c>
      <c r="G97" s="16">
        <f t="shared" si="4"/>
        <v>36.300000000000004</v>
      </c>
      <c r="H97" s="16">
        <f t="shared" si="5"/>
        <v>157.52773375594296</v>
      </c>
    </row>
    <row r="98" spans="1:10" s="5" customFormat="1" ht="27" customHeight="1">
      <c r="A98" s="143"/>
      <c r="B98" s="18" t="s">
        <v>175</v>
      </c>
      <c r="C98" s="28"/>
      <c r="D98" s="19">
        <v>2.8</v>
      </c>
      <c r="E98" s="19">
        <v>5.3</v>
      </c>
      <c r="F98" s="19">
        <v>3.6</v>
      </c>
      <c r="G98" s="16">
        <f t="shared" si="4"/>
        <v>-1.6999999999999997</v>
      </c>
      <c r="H98" s="16">
        <f t="shared" si="5"/>
        <v>67.924528301886795</v>
      </c>
    </row>
    <row r="99" spans="1:10" s="5" customFormat="1" ht="27" customHeight="1">
      <c r="A99" s="143"/>
      <c r="B99" s="18" t="s">
        <v>653</v>
      </c>
      <c r="C99" s="28"/>
      <c r="D99" s="19"/>
      <c r="E99" s="19"/>
      <c r="F99" s="19">
        <v>12.5</v>
      </c>
      <c r="G99" s="16">
        <f t="shared" si="4"/>
        <v>12.5</v>
      </c>
      <c r="H99" s="59" t="e">
        <f t="shared" si="5"/>
        <v>#DIV/0!</v>
      </c>
    </row>
    <row r="100" spans="1:10" s="5" customFormat="1" ht="36" customHeight="1">
      <c r="A100" s="143"/>
      <c r="B100" s="18" t="s">
        <v>182</v>
      </c>
      <c r="C100" s="28"/>
      <c r="D100" s="19"/>
      <c r="E100" s="19"/>
      <c r="F100" s="19">
        <v>9</v>
      </c>
      <c r="G100" s="16">
        <f t="shared" si="4"/>
        <v>9</v>
      </c>
      <c r="H100" s="59" t="e">
        <f t="shared" si="5"/>
        <v>#DIV/0!</v>
      </c>
    </row>
    <row r="101" spans="1:10" s="5" customFormat="1" ht="31.5" customHeight="1">
      <c r="A101" s="143"/>
      <c r="B101" s="18" t="s">
        <v>171</v>
      </c>
      <c r="C101" s="28"/>
      <c r="D101" s="19">
        <v>5.0999999999999996</v>
      </c>
      <c r="E101" s="19"/>
      <c r="F101" s="19">
        <v>5.6</v>
      </c>
      <c r="G101" s="16">
        <f t="shared" si="4"/>
        <v>5.6</v>
      </c>
      <c r="H101" s="59" t="e">
        <f t="shared" si="5"/>
        <v>#DIV/0!</v>
      </c>
    </row>
    <row r="102" spans="1:10" s="5" customFormat="1" ht="27" customHeight="1">
      <c r="A102" s="143"/>
      <c r="B102" s="18" t="s">
        <v>405</v>
      </c>
      <c r="C102" s="28"/>
      <c r="D102" s="19">
        <v>5.0999999999999996</v>
      </c>
      <c r="E102" s="19"/>
      <c r="F102" s="19"/>
      <c r="G102" s="16">
        <f t="shared" si="4"/>
        <v>0</v>
      </c>
      <c r="H102" s="59" t="e">
        <f t="shared" si="5"/>
        <v>#DIV/0!</v>
      </c>
    </row>
    <row r="103" spans="1:10" s="5" customFormat="1" ht="28.5" customHeight="1">
      <c r="A103" s="143"/>
      <c r="B103" s="18" t="s">
        <v>176</v>
      </c>
      <c r="C103" s="28"/>
      <c r="D103" s="19">
        <v>5.0999999999999996</v>
      </c>
      <c r="E103" s="19"/>
      <c r="F103" s="19">
        <v>5</v>
      </c>
      <c r="G103" s="16">
        <f t="shared" si="4"/>
        <v>5</v>
      </c>
      <c r="H103" s="59" t="e">
        <f t="shared" si="5"/>
        <v>#DIV/0!</v>
      </c>
    </row>
    <row r="104" spans="1:10" s="5" customFormat="1" ht="29.25" customHeight="1">
      <c r="A104" s="143"/>
      <c r="B104" s="18" t="s">
        <v>215</v>
      </c>
      <c r="C104" s="28"/>
      <c r="D104" s="19">
        <v>85.4</v>
      </c>
      <c r="E104" s="19"/>
      <c r="F104" s="19"/>
      <c r="G104" s="16">
        <f t="shared" si="4"/>
        <v>0</v>
      </c>
      <c r="H104" s="59" t="e">
        <f t="shared" si="5"/>
        <v>#DIV/0!</v>
      </c>
    </row>
    <row r="105" spans="1:10" s="5" customFormat="1" ht="31.5" customHeight="1">
      <c r="A105" s="143"/>
      <c r="B105" s="18" t="s">
        <v>350</v>
      </c>
      <c r="C105" s="28"/>
      <c r="D105" s="19"/>
      <c r="E105" s="19"/>
      <c r="F105" s="19">
        <v>8.5</v>
      </c>
      <c r="G105" s="16">
        <f t="shared" si="4"/>
        <v>8.5</v>
      </c>
      <c r="H105" s="59" t="e">
        <f t="shared" si="5"/>
        <v>#DIV/0!</v>
      </c>
    </row>
    <row r="106" spans="1:10" s="5" customFormat="1" ht="31.5" customHeight="1">
      <c r="A106" s="143"/>
      <c r="B106" s="18" t="s">
        <v>278</v>
      </c>
      <c r="C106" s="28"/>
      <c r="D106" s="19">
        <v>1.3</v>
      </c>
      <c r="E106" s="19"/>
      <c r="F106" s="19">
        <v>14.5</v>
      </c>
      <c r="G106" s="16">
        <f t="shared" si="4"/>
        <v>14.5</v>
      </c>
      <c r="H106" s="59" t="e">
        <f t="shared" si="5"/>
        <v>#DIV/0!</v>
      </c>
    </row>
    <row r="107" spans="1:10" s="5" customFormat="1" ht="31.5" customHeight="1">
      <c r="A107" s="143"/>
      <c r="B107" s="18" t="s">
        <v>404</v>
      </c>
      <c r="C107" s="28"/>
      <c r="D107" s="19">
        <v>27.1</v>
      </c>
      <c r="E107" s="19"/>
      <c r="F107" s="19">
        <v>25.8</v>
      </c>
      <c r="G107" s="16">
        <f t="shared" si="4"/>
        <v>25.8</v>
      </c>
      <c r="H107" s="59" t="e">
        <f t="shared" si="5"/>
        <v>#DIV/0!</v>
      </c>
    </row>
    <row r="108" spans="1:10" s="5" customFormat="1" ht="42.75" customHeight="1">
      <c r="A108" s="143"/>
      <c r="B108" s="22" t="s">
        <v>327</v>
      </c>
      <c r="C108" s="28"/>
      <c r="D108" s="19">
        <v>20.5</v>
      </c>
      <c r="E108" s="19">
        <v>25</v>
      </c>
      <c r="F108" s="19">
        <v>16.2</v>
      </c>
      <c r="G108" s="16">
        <f t="shared" si="4"/>
        <v>-8.8000000000000007</v>
      </c>
      <c r="H108" s="16">
        <f t="shared" si="5"/>
        <v>64.8</v>
      </c>
    </row>
    <row r="109" spans="1:10" s="5" customFormat="1" ht="30" customHeight="1">
      <c r="A109" s="143"/>
      <c r="B109" s="18" t="s">
        <v>449</v>
      </c>
      <c r="C109" s="28"/>
      <c r="D109" s="19">
        <v>106.9</v>
      </c>
      <c r="E109" s="19"/>
      <c r="F109" s="19"/>
      <c r="G109" s="59">
        <f t="shared" si="4"/>
        <v>0</v>
      </c>
      <c r="H109" s="59" t="e">
        <f t="shared" si="5"/>
        <v>#DIV/0!</v>
      </c>
    </row>
    <row r="110" spans="1:10" s="5" customFormat="1" ht="37.5" customHeight="1">
      <c r="A110" s="202" t="s">
        <v>121</v>
      </c>
      <c r="B110" s="202"/>
      <c r="C110" s="28"/>
      <c r="D110" s="19"/>
      <c r="E110" s="15"/>
      <c r="F110" s="15"/>
      <c r="G110" s="16"/>
      <c r="H110" s="16"/>
    </row>
    <row r="111" spans="1:10" s="5" customFormat="1" ht="37.5" customHeight="1">
      <c r="A111" s="202" t="s">
        <v>93</v>
      </c>
      <c r="B111" s="202"/>
      <c r="C111" s="28">
        <v>1035</v>
      </c>
      <c r="D111" s="15">
        <f>SUM(D112:D120)</f>
        <v>132.79999999999998</v>
      </c>
      <c r="E111" s="15">
        <f>SUM(E112:E120)</f>
        <v>228.3</v>
      </c>
      <c r="F111" s="15">
        <f>SUM(F112:F120)</f>
        <v>263</v>
      </c>
      <c r="G111" s="20">
        <f t="shared" si="4"/>
        <v>34.699999999999989</v>
      </c>
      <c r="H111" s="20">
        <f t="shared" si="5"/>
        <v>115.19929916776171</v>
      </c>
      <c r="I111" s="5">
        <v>263</v>
      </c>
      <c r="J111" s="29"/>
    </row>
    <row r="112" spans="1:10" s="5" customFormat="1" ht="32.25" customHeight="1">
      <c r="A112" s="141"/>
      <c r="B112" s="18" t="s">
        <v>172</v>
      </c>
      <c r="C112" s="28"/>
      <c r="D112" s="19">
        <v>10.1</v>
      </c>
      <c r="E112" s="19">
        <v>20</v>
      </c>
      <c r="F112" s="19">
        <v>10.199999999999999</v>
      </c>
      <c r="G112" s="16">
        <f t="shared" si="4"/>
        <v>-9.8000000000000007</v>
      </c>
      <c r="H112" s="16">
        <f t="shared" si="5"/>
        <v>51</v>
      </c>
      <c r="J112" s="29"/>
    </row>
    <row r="113" spans="1:11" s="5" customFormat="1" ht="31.5" customHeight="1">
      <c r="A113" s="141"/>
      <c r="B113" s="18" t="s">
        <v>173</v>
      </c>
      <c r="C113" s="28"/>
      <c r="D113" s="19">
        <v>4.5999999999999996</v>
      </c>
      <c r="E113" s="19">
        <v>8</v>
      </c>
      <c r="F113" s="19">
        <v>4.2</v>
      </c>
      <c r="G113" s="16">
        <f t="shared" si="4"/>
        <v>-3.8</v>
      </c>
      <c r="H113" s="16">
        <f t="shared" si="5"/>
        <v>52.5</v>
      </c>
      <c r="K113" s="29"/>
    </row>
    <row r="114" spans="1:11" s="5" customFormat="1" ht="30" customHeight="1">
      <c r="A114" s="141"/>
      <c r="B114" s="18" t="s">
        <v>174</v>
      </c>
      <c r="C114" s="28"/>
      <c r="D114" s="19">
        <v>73.7</v>
      </c>
      <c r="E114" s="19">
        <v>80</v>
      </c>
      <c r="F114" s="19">
        <v>94.5</v>
      </c>
      <c r="G114" s="16">
        <f t="shared" si="4"/>
        <v>14.5</v>
      </c>
      <c r="H114" s="16">
        <f t="shared" si="5"/>
        <v>118.12499999999999</v>
      </c>
    </row>
    <row r="115" spans="1:11" s="5" customFormat="1" ht="30" customHeight="1">
      <c r="A115" s="141"/>
      <c r="B115" s="18" t="s">
        <v>279</v>
      </c>
      <c r="C115" s="28"/>
      <c r="D115" s="19">
        <v>24</v>
      </c>
      <c r="E115" s="19">
        <v>8</v>
      </c>
      <c r="F115" s="19">
        <f>11.9+20.3+20.3+0.2</f>
        <v>52.7</v>
      </c>
      <c r="G115" s="16">
        <f t="shared" si="4"/>
        <v>44.7</v>
      </c>
      <c r="H115" s="16">
        <f t="shared" si="5"/>
        <v>658.75</v>
      </c>
    </row>
    <row r="116" spans="1:11" s="5" customFormat="1" ht="30" customHeight="1">
      <c r="A116" s="141"/>
      <c r="B116" s="18" t="s">
        <v>449</v>
      </c>
      <c r="C116" s="28"/>
      <c r="D116" s="19"/>
      <c r="E116" s="19"/>
      <c r="F116" s="19">
        <v>99.5</v>
      </c>
      <c r="G116" s="16">
        <f t="shared" si="4"/>
        <v>99.5</v>
      </c>
      <c r="H116" s="59" t="e">
        <f t="shared" si="5"/>
        <v>#DIV/0!</v>
      </c>
    </row>
    <row r="117" spans="1:11" s="5" customFormat="1" ht="32.25" customHeight="1">
      <c r="A117" s="141"/>
      <c r="B117" s="18" t="s">
        <v>316</v>
      </c>
      <c r="C117" s="28"/>
      <c r="D117" s="19"/>
      <c r="E117" s="19">
        <v>12</v>
      </c>
      <c r="F117" s="19"/>
      <c r="G117" s="16">
        <f t="shared" si="4"/>
        <v>-12</v>
      </c>
      <c r="H117" s="16">
        <f t="shared" si="5"/>
        <v>0</v>
      </c>
    </row>
    <row r="118" spans="1:11" s="5" customFormat="1" ht="31.5" customHeight="1">
      <c r="A118" s="141"/>
      <c r="B118" s="18" t="s">
        <v>231</v>
      </c>
      <c r="C118" s="28"/>
      <c r="D118" s="19">
        <v>19.7</v>
      </c>
      <c r="E118" s="19"/>
      <c r="F118" s="19"/>
      <c r="G118" s="16">
        <f t="shared" si="4"/>
        <v>0</v>
      </c>
      <c r="H118" s="59" t="e">
        <f t="shared" si="5"/>
        <v>#DIV/0!</v>
      </c>
    </row>
    <row r="119" spans="1:11" s="5" customFormat="1" ht="31.5" customHeight="1">
      <c r="A119" s="141"/>
      <c r="B119" s="18" t="s">
        <v>328</v>
      </c>
      <c r="C119" s="28"/>
      <c r="D119" s="19">
        <v>0.7</v>
      </c>
      <c r="E119" s="19">
        <v>0.3</v>
      </c>
      <c r="F119" s="19">
        <v>1.9</v>
      </c>
      <c r="G119" s="16">
        <f t="shared" si="4"/>
        <v>1.5999999999999999</v>
      </c>
      <c r="H119" s="16">
        <f t="shared" si="5"/>
        <v>633.33333333333326</v>
      </c>
    </row>
    <row r="120" spans="1:11" s="5" customFormat="1" ht="31.5" customHeight="1">
      <c r="A120" s="141"/>
      <c r="B120" s="18" t="s">
        <v>217</v>
      </c>
      <c r="C120" s="28"/>
      <c r="D120" s="19"/>
      <c r="E120" s="19">
        <v>100</v>
      </c>
      <c r="F120" s="19"/>
      <c r="G120" s="16">
        <f t="shared" si="4"/>
        <v>-100</v>
      </c>
      <c r="H120" s="16">
        <f t="shared" si="5"/>
        <v>0</v>
      </c>
    </row>
    <row r="121" spans="1:11">
      <c r="B121" s="7"/>
      <c r="D121" s="126"/>
      <c r="E121" s="6"/>
      <c r="F121" s="6"/>
    </row>
    <row r="122" spans="1:11" ht="24.75" customHeight="1">
      <c r="B122" s="31" t="s">
        <v>246</v>
      </c>
      <c r="C122" s="32"/>
      <c r="D122" s="206"/>
      <c r="E122" s="206"/>
      <c r="F122" s="203" t="s">
        <v>204</v>
      </c>
      <c r="G122" s="203"/>
      <c r="H122" s="203"/>
      <c r="I122" s="33"/>
    </row>
    <row r="123" spans="1:11">
      <c r="B123" s="142" t="s">
        <v>60</v>
      </c>
      <c r="C123" s="2"/>
      <c r="D123" s="207" t="s">
        <v>66</v>
      </c>
      <c r="E123" s="207"/>
      <c r="F123" s="204" t="s">
        <v>17</v>
      </c>
      <c r="G123" s="204"/>
      <c r="H123" s="204"/>
    </row>
    <row r="124" spans="1:11">
      <c r="B124" s="7"/>
      <c r="D124" s="126"/>
      <c r="E124" s="6"/>
      <c r="F124" s="6"/>
    </row>
    <row r="125" spans="1:11">
      <c r="B125" s="7"/>
      <c r="D125" s="126"/>
      <c r="E125" s="6"/>
      <c r="F125" s="6"/>
    </row>
    <row r="126" spans="1:11">
      <c r="B126" s="7"/>
      <c r="D126" s="126"/>
      <c r="E126" s="6"/>
      <c r="F126" s="6"/>
    </row>
    <row r="127" spans="1:11">
      <c r="B127" s="7"/>
      <c r="D127" s="126"/>
      <c r="E127" s="6"/>
      <c r="F127" s="6"/>
    </row>
    <row r="128" spans="1:11">
      <c r="B128" s="7"/>
      <c r="D128" s="126"/>
      <c r="E128" s="6"/>
      <c r="F128" s="6"/>
    </row>
    <row r="129" spans="2:6">
      <c r="B129" s="7"/>
      <c r="D129" s="126"/>
      <c r="E129" s="6"/>
      <c r="F129" s="6"/>
    </row>
    <row r="130" spans="2:6">
      <c r="B130" s="7"/>
      <c r="D130" s="126"/>
      <c r="E130" s="6"/>
      <c r="F130" s="6"/>
    </row>
    <row r="131" spans="2:6">
      <c r="B131" s="7"/>
      <c r="D131" s="126"/>
      <c r="E131" s="6"/>
      <c r="F131" s="6"/>
    </row>
    <row r="132" spans="2:6">
      <c r="B132" s="7"/>
      <c r="D132" s="126"/>
      <c r="E132" s="6"/>
      <c r="F132" s="6"/>
    </row>
    <row r="133" spans="2:6">
      <c r="B133" s="7"/>
      <c r="D133" s="126"/>
      <c r="E133" s="6"/>
      <c r="F133" s="6"/>
    </row>
    <row r="134" spans="2:6">
      <c r="B134" s="7"/>
      <c r="D134" s="126"/>
      <c r="E134" s="6"/>
      <c r="F134" s="6"/>
    </row>
    <row r="135" spans="2:6">
      <c r="B135" s="7"/>
      <c r="D135" s="126"/>
      <c r="E135" s="6"/>
      <c r="F135" s="6"/>
    </row>
    <row r="136" spans="2:6">
      <c r="B136" s="7"/>
      <c r="D136" s="126"/>
      <c r="E136" s="6"/>
      <c r="F136" s="6"/>
    </row>
    <row r="137" spans="2:6">
      <c r="B137" s="7"/>
      <c r="D137" s="126"/>
      <c r="E137" s="6"/>
      <c r="F137" s="6"/>
    </row>
    <row r="138" spans="2:6">
      <c r="B138" s="7"/>
      <c r="D138" s="126"/>
      <c r="E138" s="6"/>
      <c r="F138" s="6"/>
    </row>
    <row r="139" spans="2:6">
      <c r="B139" s="7"/>
      <c r="D139" s="126"/>
      <c r="E139" s="6"/>
      <c r="F139" s="6"/>
    </row>
    <row r="140" spans="2:6">
      <c r="B140" s="7"/>
      <c r="D140" s="126"/>
      <c r="E140" s="6"/>
      <c r="F140" s="6"/>
    </row>
    <row r="141" spans="2:6">
      <c r="B141" s="7"/>
      <c r="D141" s="126"/>
      <c r="E141" s="6"/>
      <c r="F141" s="6"/>
    </row>
    <row r="142" spans="2:6">
      <c r="B142" s="7"/>
      <c r="D142" s="126"/>
      <c r="E142" s="6"/>
      <c r="F142" s="6"/>
    </row>
    <row r="143" spans="2:6">
      <c r="B143" s="7"/>
      <c r="D143" s="126"/>
      <c r="E143" s="6"/>
      <c r="F143" s="6"/>
    </row>
    <row r="144" spans="2:6">
      <c r="B144" s="7"/>
      <c r="D144" s="126"/>
      <c r="E144" s="6"/>
      <c r="F144" s="6"/>
    </row>
    <row r="145" spans="2:6">
      <c r="B145" s="7"/>
      <c r="D145" s="126"/>
      <c r="E145" s="6"/>
      <c r="F145" s="6"/>
    </row>
    <row r="146" spans="2:6">
      <c r="B146" s="7"/>
      <c r="D146" s="126"/>
      <c r="E146" s="6"/>
      <c r="F146" s="6"/>
    </row>
    <row r="147" spans="2:6">
      <c r="B147" s="7"/>
      <c r="D147" s="126"/>
      <c r="E147" s="6"/>
      <c r="F147" s="6"/>
    </row>
    <row r="148" spans="2:6">
      <c r="B148" s="7"/>
      <c r="D148" s="126"/>
      <c r="E148" s="6"/>
      <c r="F148" s="6"/>
    </row>
    <row r="149" spans="2:6">
      <c r="B149" s="7"/>
      <c r="D149" s="126"/>
      <c r="E149" s="6"/>
      <c r="F149" s="6"/>
    </row>
    <row r="150" spans="2:6">
      <c r="B150" s="7"/>
      <c r="D150" s="126"/>
      <c r="E150" s="6"/>
      <c r="F150" s="6"/>
    </row>
    <row r="151" spans="2:6">
      <c r="B151" s="7"/>
      <c r="D151" s="126"/>
      <c r="E151" s="6"/>
      <c r="F151" s="6"/>
    </row>
    <row r="152" spans="2:6">
      <c r="B152" s="7"/>
      <c r="D152" s="126"/>
      <c r="E152" s="6"/>
      <c r="F152" s="6"/>
    </row>
    <row r="153" spans="2:6">
      <c r="B153" s="7"/>
      <c r="D153" s="126"/>
      <c r="E153" s="6"/>
      <c r="F153" s="6"/>
    </row>
    <row r="154" spans="2:6">
      <c r="B154" s="7"/>
      <c r="D154" s="126"/>
      <c r="E154" s="6"/>
      <c r="F154" s="6"/>
    </row>
    <row r="155" spans="2:6">
      <c r="B155" s="7"/>
      <c r="D155" s="126"/>
      <c r="E155" s="6"/>
      <c r="F155" s="6"/>
    </row>
    <row r="156" spans="2:6">
      <c r="B156" s="7"/>
      <c r="D156" s="126"/>
      <c r="E156" s="6"/>
      <c r="F156" s="6"/>
    </row>
    <row r="157" spans="2:6">
      <c r="B157" s="7"/>
      <c r="D157" s="126"/>
      <c r="E157" s="6"/>
      <c r="F157" s="6"/>
    </row>
    <row r="158" spans="2:6">
      <c r="B158" s="7"/>
      <c r="D158" s="126"/>
      <c r="E158" s="6"/>
      <c r="F158" s="6"/>
    </row>
    <row r="159" spans="2:6">
      <c r="B159" s="7"/>
      <c r="D159" s="126"/>
      <c r="E159" s="6"/>
      <c r="F159" s="6"/>
    </row>
    <row r="160" spans="2:6">
      <c r="B160" s="7"/>
      <c r="D160" s="126"/>
      <c r="E160" s="6"/>
      <c r="F160" s="6"/>
    </row>
    <row r="161" spans="2:6">
      <c r="B161" s="7"/>
      <c r="D161" s="126"/>
      <c r="E161" s="6"/>
      <c r="F161" s="6"/>
    </row>
    <row r="162" spans="2:6">
      <c r="B162" s="7"/>
      <c r="D162" s="126"/>
      <c r="E162" s="6"/>
      <c r="F162" s="6"/>
    </row>
    <row r="163" spans="2:6">
      <c r="B163" s="7"/>
      <c r="D163" s="126"/>
      <c r="E163" s="6"/>
      <c r="F163" s="6"/>
    </row>
    <row r="164" spans="2:6">
      <c r="B164" s="7"/>
      <c r="D164" s="126"/>
      <c r="E164" s="6"/>
      <c r="F164" s="6"/>
    </row>
    <row r="165" spans="2:6">
      <c r="B165" s="7"/>
      <c r="D165" s="126"/>
      <c r="E165" s="6"/>
      <c r="F165" s="6"/>
    </row>
    <row r="166" spans="2:6">
      <c r="B166" s="7"/>
      <c r="D166" s="126"/>
      <c r="E166" s="6"/>
      <c r="F166" s="6"/>
    </row>
    <row r="167" spans="2:6">
      <c r="B167" s="7"/>
      <c r="D167" s="126"/>
      <c r="E167" s="6"/>
      <c r="F167" s="6"/>
    </row>
    <row r="168" spans="2:6">
      <c r="B168" s="7"/>
      <c r="D168" s="126"/>
      <c r="E168" s="6"/>
      <c r="F168" s="6"/>
    </row>
    <row r="169" spans="2:6">
      <c r="B169" s="7"/>
      <c r="D169" s="126"/>
      <c r="E169" s="6"/>
      <c r="F169" s="6"/>
    </row>
    <row r="170" spans="2:6">
      <c r="B170" s="7"/>
      <c r="D170" s="126"/>
      <c r="E170" s="6"/>
      <c r="F170" s="6"/>
    </row>
    <row r="171" spans="2:6">
      <c r="B171" s="7"/>
      <c r="D171" s="126"/>
      <c r="E171" s="6"/>
      <c r="F171" s="6"/>
    </row>
    <row r="172" spans="2:6">
      <c r="B172" s="7"/>
      <c r="D172" s="126"/>
      <c r="E172" s="6"/>
      <c r="F172" s="6"/>
    </row>
    <row r="173" spans="2:6">
      <c r="B173" s="7"/>
      <c r="D173" s="126"/>
      <c r="E173" s="6"/>
      <c r="F173" s="6"/>
    </row>
    <row r="174" spans="2:6">
      <c r="B174" s="7"/>
      <c r="D174" s="126"/>
      <c r="E174" s="6"/>
      <c r="F174" s="6"/>
    </row>
    <row r="175" spans="2:6">
      <c r="B175" s="7"/>
      <c r="D175" s="126"/>
      <c r="E175" s="6"/>
      <c r="F175" s="6"/>
    </row>
    <row r="176" spans="2:6">
      <c r="B176" s="7"/>
      <c r="D176" s="126"/>
      <c r="E176" s="6"/>
      <c r="F176" s="6"/>
    </row>
    <row r="177" spans="2:6">
      <c r="B177" s="7"/>
      <c r="D177" s="126"/>
      <c r="E177" s="6"/>
      <c r="F177" s="6"/>
    </row>
    <row r="178" spans="2:6">
      <c r="B178" s="7"/>
    </row>
    <row r="179" spans="2:6">
      <c r="B179" s="8"/>
    </row>
    <row r="180" spans="2:6">
      <c r="B180" s="8"/>
    </row>
    <row r="181" spans="2:6">
      <c r="B181" s="8"/>
    </row>
    <row r="182" spans="2:6">
      <c r="B182" s="8"/>
    </row>
    <row r="183" spans="2:6">
      <c r="B183" s="8"/>
    </row>
    <row r="184" spans="2:6">
      <c r="B184" s="8"/>
    </row>
    <row r="185" spans="2:6">
      <c r="B185" s="8"/>
    </row>
    <row r="186" spans="2:6">
      <c r="B186" s="8"/>
    </row>
    <row r="187" spans="2:6">
      <c r="B187" s="8"/>
    </row>
    <row r="188" spans="2:6">
      <c r="B188" s="8"/>
    </row>
    <row r="189" spans="2:6">
      <c r="B189" s="8"/>
    </row>
    <row r="190" spans="2:6">
      <c r="B190" s="8"/>
    </row>
    <row r="191" spans="2:6">
      <c r="B191" s="8"/>
    </row>
    <row r="192" spans="2:6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  <row r="247" spans="2:2">
      <c r="B247" s="8"/>
    </row>
    <row r="248" spans="2:2">
      <c r="B248" s="8"/>
    </row>
    <row r="249" spans="2:2">
      <c r="B249" s="8"/>
    </row>
    <row r="250" spans="2:2">
      <c r="B250" s="8"/>
    </row>
    <row r="251" spans="2:2">
      <c r="B251" s="8"/>
    </row>
    <row r="252" spans="2:2">
      <c r="B252" s="8"/>
    </row>
    <row r="253" spans="2:2">
      <c r="B253" s="8"/>
    </row>
    <row r="254" spans="2:2">
      <c r="B254" s="8"/>
    </row>
    <row r="255" spans="2:2">
      <c r="B255" s="8"/>
    </row>
    <row r="256" spans="2:2">
      <c r="B256" s="8"/>
    </row>
    <row r="257" spans="2:2">
      <c r="B257" s="8"/>
    </row>
    <row r="258" spans="2:2">
      <c r="B258" s="8"/>
    </row>
    <row r="259" spans="2:2">
      <c r="B259" s="8"/>
    </row>
    <row r="260" spans="2:2">
      <c r="B260" s="8"/>
    </row>
    <row r="261" spans="2:2">
      <c r="B261" s="8"/>
    </row>
    <row r="262" spans="2:2">
      <c r="B262" s="8"/>
    </row>
    <row r="263" spans="2:2">
      <c r="B263" s="8"/>
    </row>
    <row r="264" spans="2:2">
      <c r="B264" s="8"/>
    </row>
    <row r="265" spans="2:2">
      <c r="B265" s="8"/>
    </row>
    <row r="266" spans="2:2">
      <c r="B266" s="8"/>
    </row>
    <row r="267" spans="2:2">
      <c r="B267" s="8"/>
    </row>
    <row r="268" spans="2:2">
      <c r="B268" s="8"/>
    </row>
    <row r="269" spans="2:2">
      <c r="B269" s="8"/>
    </row>
    <row r="270" spans="2:2">
      <c r="B270" s="8"/>
    </row>
    <row r="271" spans="2:2">
      <c r="B271" s="8"/>
    </row>
    <row r="272" spans="2:2">
      <c r="B272" s="8"/>
    </row>
    <row r="273" spans="2:2">
      <c r="B273" s="8"/>
    </row>
    <row r="274" spans="2:2">
      <c r="B274" s="8"/>
    </row>
    <row r="275" spans="2:2">
      <c r="B275" s="8"/>
    </row>
    <row r="276" spans="2:2">
      <c r="B276" s="8"/>
    </row>
    <row r="277" spans="2:2">
      <c r="B277" s="8"/>
    </row>
    <row r="278" spans="2:2">
      <c r="B278" s="8"/>
    </row>
    <row r="279" spans="2:2">
      <c r="B279" s="8"/>
    </row>
    <row r="280" spans="2:2">
      <c r="B280" s="8"/>
    </row>
    <row r="281" spans="2:2">
      <c r="B281" s="8"/>
    </row>
    <row r="282" spans="2:2">
      <c r="B282" s="8"/>
    </row>
    <row r="283" spans="2:2">
      <c r="B283" s="8"/>
    </row>
    <row r="284" spans="2:2">
      <c r="B284" s="8"/>
    </row>
    <row r="285" spans="2:2">
      <c r="B285" s="8"/>
    </row>
    <row r="286" spans="2:2">
      <c r="B286" s="8"/>
    </row>
    <row r="287" spans="2:2">
      <c r="B287" s="8"/>
    </row>
    <row r="288" spans="2:2">
      <c r="B288" s="8"/>
    </row>
    <row r="289" spans="2:2">
      <c r="B289" s="8"/>
    </row>
    <row r="290" spans="2:2">
      <c r="B290" s="8"/>
    </row>
    <row r="291" spans="2:2">
      <c r="B291" s="8"/>
    </row>
    <row r="292" spans="2:2">
      <c r="B292" s="8"/>
    </row>
    <row r="293" spans="2:2">
      <c r="B293" s="8"/>
    </row>
    <row r="294" spans="2:2">
      <c r="B294" s="8"/>
    </row>
    <row r="295" spans="2:2">
      <c r="B295" s="8"/>
    </row>
    <row r="296" spans="2:2">
      <c r="B296" s="8"/>
    </row>
    <row r="297" spans="2:2">
      <c r="B297" s="8"/>
    </row>
    <row r="298" spans="2:2">
      <c r="B298" s="8"/>
    </row>
    <row r="299" spans="2:2">
      <c r="B299" s="8"/>
    </row>
    <row r="300" spans="2:2">
      <c r="B300" s="8"/>
    </row>
    <row r="301" spans="2:2">
      <c r="B301" s="8"/>
    </row>
    <row r="302" spans="2:2">
      <c r="B302" s="8"/>
    </row>
    <row r="303" spans="2:2">
      <c r="B303" s="8"/>
    </row>
    <row r="304" spans="2:2">
      <c r="B304" s="8"/>
    </row>
    <row r="305" spans="2:2">
      <c r="B305" s="8"/>
    </row>
    <row r="306" spans="2:2">
      <c r="B306" s="8"/>
    </row>
    <row r="307" spans="2:2">
      <c r="B307" s="8"/>
    </row>
    <row r="308" spans="2:2">
      <c r="B308" s="8"/>
    </row>
    <row r="309" spans="2:2">
      <c r="B309" s="8"/>
    </row>
    <row r="310" spans="2:2">
      <c r="B310" s="8"/>
    </row>
    <row r="311" spans="2:2">
      <c r="B311" s="8"/>
    </row>
    <row r="312" spans="2:2">
      <c r="B312" s="8"/>
    </row>
    <row r="313" spans="2:2">
      <c r="B313" s="8"/>
    </row>
    <row r="314" spans="2:2">
      <c r="B314" s="8"/>
    </row>
    <row r="315" spans="2:2">
      <c r="B315" s="8"/>
    </row>
    <row r="316" spans="2:2">
      <c r="B316" s="8"/>
    </row>
    <row r="317" spans="2:2">
      <c r="B317" s="8"/>
    </row>
    <row r="318" spans="2:2">
      <c r="B318" s="8"/>
    </row>
    <row r="319" spans="2:2">
      <c r="B319" s="8"/>
    </row>
    <row r="320" spans="2:2">
      <c r="B320" s="8"/>
    </row>
    <row r="321" spans="2:2">
      <c r="B321" s="8"/>
    </row>
    <row r="322" spans="2:2">
      <c r="B322" s="8"/>
    </row>
    <row r="323" spans="2:2">
      <c r="B323" s="8"/>
    </row>
    <row r="324" spans="2:2">
      <c r="B324" s="8"/>
    </row>
    <row r="325" spans="2:2">
      <c r="B325" s="8"/>
    </row>
    <row r="326" spans="2:2">
      <c r="B326" s="8"/>
    </row>
    <row r="327" spans="2:2">
      <c r="B327" s="8"/>
    </row>
    <row r="328" spans="2:2">
      <c r="B328" s="8"/>
    </row>
    <row r="329" spans="2:2">
      <c r="B329" s="8"/>
    </row>
    <row r="330" spans="2:2">
      <c r="B330" s="8"/>
    </row>
    <row r="331" spans="2:2">
      <c r="B331" s="8"/>
    </row>
    <row r="332" spans="2:2">
      <c r="B332" s="8"/>
    </row>
    <row r="333" spans="2:2">
      <c r="B333" s="8"/>
    </row>
    <row r="334" spans="2:2">
      <c r="B334" s="8"/>
    </row>
    <row r="335" spans="2:2">
      <c r="B335" s="8"/>
    </row>
    <row r="336" spans="2:2">
      <c r="B336" s="8"/>
    </row>
    <row r="337" spans="2:2">
      <c r="B337" s="8"/>
    </row>
    <row r="338" spans="2:2">
      <c r="B338" s="8"/>
    </row>
    <row r="339" spans="2:2">
      <c r="B339" s="8"/>
    </row>
    <row r="340" spans="2:2">
      <c r="B340" s="8"/>
    </row>
    <row r="341" spans="2:2">
      <c r="B341" s="8"/>
    </row>
    <row r="342" spans="2:2">
      <c r="B342" s="8"/>
    </row>
    <row r="343" spans="2:2">
      <c r="B343" s="8"/>
    </row>
    <row r="344" spans="2:2">
      <c r="B344" s="8"/>
    </row>
    <row r="345" spans="2:2">
      <c r="B345" s="8"/>
    </row>
  </sheetData>
  <mergeCells count="19">
    <mergeCell ref="A13:B13"/>
    <mergeCell ref="A25:B25"/>
    <mergeCell ref="A23:B23"/>
    <mergeCell ref="A111:B111"/>
    <mergeCell ref="A110:B110"/>
    <mergeCell ref="F122:H122"/>
    <mergeCell ref="F123:H123"/>
    <mergeCell ref="B2:F2"/>
    <mergeCell ref="D122:E122"/>
    <mergeCell ref="D123:E123"/>
    <mergeCell ref="A30:B30"/>
    <mergeCell ref="A31:B31"/>
    <mergeCell ref="A32:B32"/>
    <mergeCell ref="A46:B46"/>
    <mergeCell ref="A80:B80"/>
    <mergeCell ref="A81:B81"/>
    <mergeCell ref="A86:B86"/>
    <mergeCell ref="A6:B6"/>
    <mergeCell ref="A7:B7"/>
  </mergeCells>
  <pageMargins left="0.39370078740157483" right="0.39370078740157483" top="0.78740157480314965" bottom="0.39370078740157483" header="0.31496062992125984" footer="0.31496062992125984"/>
  <pageSetup paperSize="9" scale="80" fitToHeight="8" orientation="landscape" r:id="rId1"/>
  <rowBreaks count="1" manualBreakCount="1">
    <brk id="29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R608"/>
  <sheetViews>
    <sheetView view="pageBreakPreview" topLeftCell="A340" zoomScale="60" zoomScaleNormal="70" workbookViewId="0">
      <selection activeCell="Q361" sqref="Q361"/>
    </sheetView>
  </sheetViews>
  <sheetFormatPr defaultRowHeight="18.75"/>
  <cols>
    <col min="1" max="1" width="10" style="2" customWidth="1"/>
    <col min="2" max="2" width="106.140625" style="2" customWidth="1"/>
    <col min="3" max="3" width="14.140625" style="187" customWidth="1"/>
    <col min="4" max="4" width="16.5703125" style="187" customWidth="1"/>
    <col min="5" max="5" width="17.42578125" style="187" customWidth="1"/>
    <col min="6" max="6" width="18.140625" style="187" customWidth="1"/>
    <col min="7" max="7" width="18.28515625" style="2" customWidth="1"/>
    <col min="8" max="8" width="17.7109375" style="2" customWidth="1"/>
    <col min="9" max="9" width="17.42578125" style="2" customWidth="1"/>
    <col min="10" max="10" width="19" style="98" customWidth="1"/>
    <col min="11" max="11" width="21.85546875" style="5" customWidth="1"/>
    <col min="12" max="12" width="22.7109375" style="2" customWidth="1"/>
    <col min="13" max="13" width="21.85546875" style="2" customWidth="1"/>
    <col min="14" max="14" width="15.85546875" style="187" bestFit="1" customWidth="1"/>
    <col min="15" max="15" width="19.140625" style="187" customWidth="1"/>
    <col min="16" max="16" width="13.28515625" style="2" bestFit="1" customWidth="1"/>
    <col min="17" max="17" width="9.140625" style="2"/>
    <col min="18" max="18" width="14.7109375" style="2" bestFit="1" customWidth="1"/>
    <col min="19" max="19" width="13.42578125" style="2" bestFit="1" customWidth="1"/>
    <col min="20" max="16384" width="9.140625" style="2"/>
  </cols>
  <sheetData>
    <row r="2" spans="1:16" ht="22.5" customHeight="1">
      <c r="B2" s="212" t="s">
        <v>119</v>
      </c>
      <c r="C2" s="212"/>
      <c r="D2" s="212"/>
      <c r="E2" s="212"/>
      <c r="F2" s="212"/>
      <c r="G2" s="212"/>
      <c r="H2" s="212"/>
    </row>
    <row r="3" spans="1:16">
      <c r="B3" s="193"/>
      <c r="C3" s="3"/>
      <c r="D3" s="193"/>
      <c r="E3" s="193"/>
      <c r="F3" s="193"/>
      <c r="H3" s="2" t="s">
        <v>65</v>
      </c>
    </row>
    <row r="4" spans="1:16" ht="98.25" customHeight="1">
      <c r="A4" s="4" t="s">
        <v>76</v>
      </c>
      <c r="B4" s="4" t="s">
        <v>23</v>
      </c>
      <c r="C4" s="12" t="s">
        <v>5</v>
      </c>
      <c r="D4" s="12" t="s">
        <v>482</v>
      </c>
      <c r="E4" s="12" t="s">
        <v>481</v>
      </c>
      <c r="F4" s="12" t="s">
        <v>480</v>
      </c>
      <c r="G4" s="12" t="s">
        <v>110</v>
      </c>
      <c r="H4" s="12" t="s">
        <v>113</v>
      </c>
      <c r="N4" s="34"/>
      <c r="O4" s="34"/>
    </row>
    <row r="5" spans="1:16" ht="30.75" customHeight="1">
      <c r="A5" s="25"/>
      <c r="B5" s="4">
        <v>2</v>
      </c>
      <c r="C5" s="12">
        <v>3</v>
      </c>
      <c r="D5" s="12">
        <v>4</v>
      </c>
      <c r="E5" s="12">
        <v>5</v>
      </c>
      <c r="F5" s="12">
        <v>6</v>
      </c>
      <c r="G5" s="4">
        <v>7</v>
      </c>
      <c r="H5" s="4">
        <v>8</v>
      </c>
      <c r="I5" s="21"/>
      <c r="K5" s="35"/>
      <c r="M5" s="21"/>
      <c r="N5" s="36"/>
      <c r="O5" s="36"/>
    </row>
    <row r="6" spans="1:16" ht="36" customHeight="1">
      <c r="A6" s="208" t="s">
        <v>84</v>
      </c>
      <c r="B6" s="208"/>
      <c r="C6" s="191"/>
      <c r="D6" s="13">
        <f>SUM(D7,D59,D64,D69,D131,D143,D184,D198,D218,D249,D258,D265,D272,D283,D291,D320,D325,D377,D372)</f>
        <v>108508.1</v>
      </c>
      <c r="E6" s="13">
        <f>SUM(E7,E59,E64,E69,E131,E143,E184,E198,E218,E249,E258,E265,E272,E283,E291,E320,E325,E377,E372)</f>
        <v>149219.9</v>
      </c>
      <c r="F6" s="13">
        <f>SUM(F7,F59,F64,F69,F131,F143,F184,F198,F218,F249,F258,F265,F272,F283,F291,F320,F325,F377,F372)</f>
        <v>144302.19999999998</v>
      </c>
      <c r="G6" s="20">
        <f>F6-E6</f>
        <v>-4917.7000000000116</v>
      </c>
      <c r="H6" s="20">
        <f>(F6/E6)*100</f>
        <v>96.704393984984577</v>
      </c>
      <c r="I6" s="138"/>
      <c r="J6" s="29"/>
      <c r="N6" s="37"/>
      <c r="O6" s="37"/>
    </row>
    <row r="7" spans="1:16" ht="39.75" customHeight="1">
      <c r="A7" s="191" t="s">
        <v>85</v>
      </c>
      <c r="B7" s="23" t="s">
        <v>120</v>
      </c>
      <c r="C7" s="191"/>
      <c r="D7" s="15">
        <f>D9+D40+D54</f>
        <v>84895.5</v>
      </c>
      <c r="E7" s="15">
        <f>E9+E40+E54</f>
        <v>122304.79999999999</v>
      </c>
      <c r="F7" s="15">
        <f>F9+F40+F54</f>
        <v>107026.1</v>
      </c>
      <c r="G7" s="20">
        <f>F7-E7</f>
        <v>-15278.699999999983</v>
      </c>
      <c r="H7" s="20">
        <f>(F7/E7)*100</f>
        <v>87.50768571634147</v>
      </c>
      <c r="I7" s="139"/>
      <c r="K7" s="29"/>
      <c r="L7" s="29"/>
      <c r="M7" s="29"/>
      <c r="N7" s="38"/>
      <c r="O7" s="38"/>
      <c r="P7" s="39"/>
    </row>
    <row r="8" spans="1:16" ht="24" customHeight="1">
      <c r="A8" s="4"/>
      <c r="B8" s="40" t="s">
        <v>86</v>
      </c>
      <c r="C8" s="12"/>
      <c r="D8" s="19"/>
      <c r="E8" s="19"/>
      <c r="F8" s="19"/>
      <c r="G8" s="20"/>
      <c r="H8" s="20"/>
      <c r="I8" s="21"/>
      <c r="K8" s="29">
        <f>K10+K17+K24</f>
        <v>108508.09999999999</v>
      </c>
      <c r="L8" s="29">
        <f>L10+L17+L24</f>
        <v>149219.9</v>
      </c>
      <c r="M8" s="29">
        <f>M10+M17+M24</f>
        <v>144302.20000000001</v>
      </c>
      <c r="N8" s="38"/>
      <c r="O8" s="38"/>
    </row>
    <row r="9" spans="1:16" ht="30" customHeight="1">
      <c r="A9" s="41" t="s">
        <v>87</v>
      </c>
      <c r="B9" s="190" t="s">
        <v>90</v>
      </c>
      <c r="C9" s="191">
        <v>1010</v>
      </c>
      <c r="D9" s="15">
        <f>D10+D17+D18+D20+D19</f>
        <v>78434.399999999994</v>
      </c>
      <c r="E9" s="15">
        <f>E10+E17+E18+E20</f>
        <v>119366.79999999999</v>
      </c>
      <c r="F9" s="15">
        <f>F10+F17+F18+F20+F19</f>
        <v>98441.5</v>
      </c>
      <c r="G9" s="20">
        <f>F9-E9</f>
        <v>-20925.299999999988</v>
      </c>
      <c r="H9" s="20">
        <f>(F9/E9)*100</f>
        <v>82.469748707345772</v>
      </c>
      <c r="I9" s="21"/>
      <c r="K9" s="100"/>
      <c r="L9" s="100"/>
      <c r="M9" s="100"/>
      <c r="N9" s="38"/>
      <c r="O9" s="38"/>
      <c r="P9" s="5"/>
    </row>
    <row r="10" spans="1:16" ht="28.5" customHeight="1">
      <c r="A10" s="42" t="s">
        <v>137</v>
      </c>
      <c r="B10" s="43" t="s">
        <v>107</v>
      </c>
      <c r="C10" s="44">
        <v>1011</v>
      </c>
      <c r="D10" s="45">
        <f>SUM(D11:D16)</f>
        <v>5791.7</v>
      </c>
      <c r="E10" s="45">
        <f>SUM(E11:E16)</f>
        <v>7760</v>
      </c>
      <c r="F10" s="45">
        <f>SUM(F11:F16)</f>
        <v>11992.6</v>
      </c>
      <c r="G10" s="46">
        <f>F10-E10</f>
        <v>4232.6000000000004</v>
      </c>
      <c r="H10" s="46">
        <f>(F10/E10)*100</f>
        <v>154.54381443298971</v>
      </c>
      <c r="I10" s="21"/>
      <c r="J10" s="98">
        <v>1010</v>
      </c>
      <c r="K10" s="100">
        <f>SUM(D9,D61,D71,D133,D145,D186,D200,D220,D251,D274,D285,D293,D322,D327,D374,D379)</f>
        <v>100085.9</v>
      </c>
      <c r="L10" s="100">
        <f>SUM(E9,E61,E71,E133,E145,E186,E200,E220,E251,E274,E285,E293,E322,E327,E374,E379)</f>
        <v>142602.9</v>
      </c>
      <c r="M10" s="100">
        <f>SUM(F9,F61,F71,F133,F145,F186,F200,F220,F251,F274,F285,F293,F322,F327,F374,F379)</f>
        <v>134401.70000000001</v>
      </c>
      <c r="N10" s="38"/>
      <c r="O10" s="38"/>
      <c r="P10" s="5"/>
    </row>
    <row r="11" spans="1:16" ht="25.5" customHeight="1">
      <c r="A11" s="47"/>
      <c r="B11" s="18" t="s">
        <v>138</v>
      </c>
      <c r="C11" s="48"/>
      <c r="D11" s="19">
        <v>5228.3</v>
      </c>
      <c r="E11" s="19">
        <v>6500</v>
      </c>
      <c r="F11" s="19">
        <v>10767.8</v>
      </c>
      <c r="G11" s="16">
        <f t="shared" ref="G11:G74" si="0">F11-E11</f>
        <v>4267.7999999999993</v>
      </c>
      <c r="H11" s="16">
        <f t="shared" ref="H11:H74" si="1">(F11/E11)*100</f>
        <v>165.65846153846152</v>
      </c>
      <c r="J11" s="98">
        <v>1011</v>
      </c>
      <c r="K11" s="39">
        <f>SUM(D10,D72,D134,D146,D187,D201,D221,D252,D294,D323,D328,)</f>
        <v>15711.699999999999</v>
      </c>
      <c r="L11" s="39">
        <f>SUM(E10,E72,E134,E146,E187,E201,E221,E252,E294,E323,E328,)</f>
        <v>17373</v>
      </c>
      <c r="M11" s="39">
        <f>SUM(F10,F72,F134,F146,F187,F201,F221,F252,F294,F323,F328,)</f>
        <v>29750.6</v>
      </c>
      <c r="N11" s="38"/>
      <c r="O11" s="38"/>
      <c r="P11" s="39"/>
    </row>
    <row r="12" spans="1:16" ht="27" customHeight="1">
      <c r="A12" s="47"/>
      <c r="B12" s="18" t="s">
        <v>139</v>
      </c>
      <c r="C12" s="48"/>
      <c r="D12" s="19">
        <v>309.89999999999998</v>
      </c>
      <c r="E12" s="19">
        <v>700</v>
      </c>
      <c r="F12" s="19">
        <v>703.6</v>
      </c>
      <c r="G12" s="16">
        <f t="shared" si="0"/>
        <v>3.6000000000000227</v>
      </c>
      <c r="H12" s="16">
        <f t="shared" si="1"/>
        <v>100.51428571428571</v>
      </c>
      <c r="J12" s="98">
        <v>1012</v>
      </c>
      <c r="K12" s="39">
        <f t="shared" ref="K12:M13" si="2">SUM(D17,D62,D79,D152,D191,D375)</f>
        <v>59858.3</v>
      </c>
      <c r="L12" s="39">
        <f t="shared" si="2"/>
        <v>89005.2</v>
      </c>
      <c r="M12" s="39">
        <f t="shared" si="2"/>
        <v>69877.600000000006</v>
      </c>
      <c r="N12" s="38"/>
      <c r="P12" s="5"/>
    </row>
    <row r="13" spans="1:16" ht="27" customHeight="1">
      <c r="A13" s="47"/>
      <c r="B13" s="18" t="s">
        <v>270</v>
      </c>
      <c r="C13" s="48"/>
      <c r="D13" s="19"/>
      <c r="E13" s="19">
        <v>60</v>
      </c>
      <c r="F13" s="19"/>
      <c r="G13" s="16">
        <f t="shared" si="0"/>
        <v>-60</v>
      </c>
      <c r="H13" s="16">
        <f t="shared" si="1"/>
        <v>0</v>
      </c>
      <c r="J13" s="98">
        <v>1013</v>
      </c>
      <c r="K13" s="39">
        <f t="shared" si="2"/>
        <v>12631.7</v>
      </c>
      <c r="L13" s="39">
        <f t="shared" si="2"/>
        <v>21782.800000000003</v>
      </c>
      <c r="M13" s="39">
        <f t="shared" si="2"/>
        <v>14810.6</v>
      </c>
      <c r="N13" s="38"/>
      <c r="O13" s="38"/>
      <c r="P13" s="5"/>
    </row>
    <row r="14" spans="1:16" ht="37.5" customHeight="1">
      <c r="A14" s="47"/>
      <c r="B14" s="18" t="s">
        <v>162</v>
      </c>
      <c r="C14" s="48"/>
      <c r="D14" s="19">
        <v>218.1</v>
      </c>
      <c r="E14" s="19">
        <v>300</v>
      </c>
      <c r="F14" s="19">
        <f>325.8+19.7</f>
        <v>345.5</v>
      </c>
      <c r="G14" s="16">
        <f t="shared" si="0"/>
        <v>45.5</v>
      </c>
      <c r="H14" s="16">
        <f t="shared" si="1"/>
        <v>115.16666666666666</v>
      </c>
      <c r="J14" s="98">
        <v>1014</v>
      </c>
      <c r="K14" s="39">
        <f>SUM(D19,D81,D154,D334,D380)</f>
        <v>2466.8000000000002</v>
      </c>
      <c r="L14" s="39">
        <f>SUM(E19,E81,E154,E334,E380)</f>
        <v>1800</v>
      </c>
      <c r="M14" s="39">
        <f>SUM(F19,F81,F154,F334,F380)</f>
        <v>6378.7</v>
      </c>
      <c r="N14" s="38"/>
      <c r="O14" s="38"/>
    </row>
    <row r="15" spans="1:16" ht="27.75" customHeight="1">
      <c r="A15" s="47"/>
      <c r="B15" s="198" t="s">
        <v>163</v>
      </c>
      <c r="C15" s="48"/>
      <c r="D15" s="19"/>
      <c r="E15" s="19"/>
      <c r="F15" s="19">
        <v>29.1</v>
      </c>
      <c r="G15" s="16">
        <f t="shared" si="0"/>
        <v>29.1</v>
      </c>
      <c r="H15" s="59" t="e">
        <f t="shared" si="1"/>
        <v>#DIV/0!</v>
      </c>
      <c r="J15" s="98">
        <v>1015</v>
      </c>
      <c r="K15" s="39">
        <f>SUM(D20,D82,D155,D193,D204,D231,D275,D286,D300,D335,D140)</f>
        <v>9417.4000000000015</v>
      </c>
      <c r="L15" s="2">
        <f>SUM(E20,E82,E155,E193,E204,E231,E275,E286,E300,E335,E140)</f>
        <v>12641.900000000001</v>
      </c>
      <c r="M15" s="2">
        <f>SUM(F20,F82,F155,F193,F204,F231,F275,F286,F300,F335,F140)</f>
        <v>13584.200000000003</v>
      </c>
      <c r="N15" s="38"/>
      <c r="O15" s="38"/>
    </row>
    <row r="16" spans="1:16" ht="27" customHeight="1">
      <c r="A16" s="47"/>
      <c r="B16" s="18" t="s">
        <v>180</v>
      </c>
      <c r="C16" s="48"/>
      <c r="D16" s="19">
        <v>35.4</v>
      </c>
      <c r="E16" s="19">
        <v>200</v>
      </c>
      <c r="F16" s="19">
        <v>146.6</v>
      </c>
      <c r="G16" s="16">
        <f t="shared" si="0"/>
        <v>-53.400000000000006</v>
      </c>
      <c r="H16" s="16">
        <f t="shared" si="1"/>
        <v>73.3</v>
      </c>
      <c r="K16" s="100"/>
      <c r="L16" s="100"/>
      <c r="M16" s="100"/>
      <c r="N16" s="100"/>
      <c r="O16" s="100"/>
    </row>
    <row r="17" spans="1:18" ht="26.25" customHeight="1">
      <c r="A17" s="42" t="s">
        <v>141</v>
      </c>
      <c r="B17" s="43" t="s">
        <v>2</v>
      </c>
      <c r="C17" s="50">
        <v>1012</v>
      </c>
      <c r="D17" s="45">
        <v>59229.8</v>
      </c>
      <c r="E17" s="45">
        <v>88574.399999999994</v>
      </c>
      <c r="F17" s="45">
        <v>69547.100000000006</v>
      </c>
      <c r="G17" s="46">
        <f t="shared" si="0"/>
        <v>-19027.299999999988</v>
      </c>
      <c r="H17" s="46">
        <f t="shared" si="1"/>
        <v>78.5182851930129</v>
      </c>
      <c r="J17" s="98">
        <v>1020</v>
      </c>
      <c r="K17" s="100">
        <f>SUM(D40,D108,D172,D208,D238,D279,D312,D351,D382)</f>
        <v>7448</v>
      </c>
      <c r="L17" s="100">
        <f>SUM(E40,E108,E172,E208,E238,E279,E312,E351,E382)</f>
        <v>4559.8</v>
      </c>
      <c r="M17" s="100">
        <f>SUM(F40,F108,F172,F208,F238,F279,F312,F351,F382)</f>
        <v>7994.9999999999991</v>
      </c>
      <c r="N17" s="39"/>
      <c r="O17" s="39"/>
    </row>
    <row r="18" spans="1:18" ht="27" customHeight="1">
      <c r="A18" s="42" t="s">
        <v>142</v>
      </c>
      <c r="B18" s="43" t="s">
        <v>3</v>
      </c>
      <c r="C18" s="50">
        <v>1013</v>
      </c>
      <c r="D18" s="45">
        <v>12471</v>
      </c>
      <c r="E18" s="45">
        <v>21672.400000000001</v>
      </c>
      <c r="F18" s="45">
        <v>14737.9</v>
      </c>
      <c r="G18" s="46">
        <f t="shared" si="0"/>
        <v>-6934.5000000000018</v>
      </c>
      <c r="H18" s="46">
        <f t="shared" si="1"/>
        <v>68.003082261309316</v>
      </c>
      <c r="J18" s="98">
        <v>1021</v>
      </c>
      <c r="K18" s="39">
        <f>SUM(D41,D109,D173,D239,D313,D352,)</f>
        <v>35.700000000000003</v>
      </c>
      <c r="L18" s="39">
        <f>SUM(E41,E109,E173,E239,E313,E352,)</f>
        <v>70</v>
      </c>
      <c r="M18" s="39">
        <f>SUM(F41,F109,F173,F239,F313,F352,)</f>
        <v>113.4</v>
      </c>
      <c r="N18" s="39"/>
      <c r="O18" s="39"/>
    </row>
    <row r="19" spans="1:18" ht="26.25" customHeight="1">
      <c r="A19" s="42" t="s">
        <v>143</v>
      </c>
      <c r="B19" s="43" t="s">
        <v>4</v>
      </c>
      <c r="C19" s="50">
        <v>1014</v>
      </c>
      <c r="D19" s="45">
        <v>83.4</v>
      </c>
      <c r="E19" s="45"/>
      <c r="F19" s="45">
        <v>160.4</v>
      </c>
      <c r="G19" s="46">
        <f t="shared" si="0"/>
        <v>160.4</v>
      </c>
      <c r="H19" s="177" t="e">
        <f t="shared" si="1"/>
        <v>#DIV/0!</v>
      </c>
      <c r="I19" s="51"/>
      <c r="J19" s="98">
        <v>1022</v>
      </c>
      <c r="K19" s="39">
        <f t="shared" ref="K19:M20" si="3">SUM(D45,)</f>
        <v>4420.7</v>
      </c>
      <c r="L19" s="39">
        <f t="shared" si="3"/>
        <v>1978.4</v>
      </c>
      <c r="M19" s="39">
        <f t="shared" si="3"/>
        <v>5198.8999999999996</v>
      </c>
      <c r="N19" s="39"/>
      <c r="O19" s="39"/>
    </row>
    <row r="20" spans="1:18" ht="26.25" customHeight="1">
      <c r="A20" s="42" t="s">
        <v>144</v>
      </c>
      <c r="B20" s="43" t="s">
        <v>145</v>
      </c>
      <c r="C20" s="50">
        <v>1015</v>
      </c>
      <c r="D20" s="45">
        <f>SUM(D21:D39)</f>
        <v>858.50000000000011</v>
      </c>
      <c r="E20" s="45">
        <f>SUM(E21:E39)</f>
        <v>1360</v>
      </c>
      <c r="F20" s="45">
        <f>SUM(F21:F39)</f>
        <v>2003.5</v>
      </c>
      <c r="G20" s="46">
        <f t="shared" si="0"/>
        <v>643.5</v>
      </c>
      <c r="H20" s="46">
        <f t="shared" si="1"/>
        <v>147.31617647058823</v>
      </c>
      <c r="I20" s="91"/>
      <c r="J20" s="98">
        <v>1023</v>
      </c>
      <c r="K20" s="39">
        <f t="shared" si="3"/>
        <v>906.5</v>
      </c>
      <c r="L20" s="39">
        <f t="shared" si="3"/>
        <v>435.2</v>
      </c>
      <c r="M20" s="39">
        <f t="shared" si="3"/>
        <v>1071.9000000000001</v>
      </c>
      <c r="N20" s="39"/>
      <c r="O20" s="39"/>
      <c r="P20" s="39"/>
    </row>
    <row r="21" spans="1:18" ht="27" customHeight="1">
      <c r="A21" s="52"/>
      <c r="B21" s="24" t="s">
        <v>146</v>
      </c>
      <c r="C21" s="17"/>
      <c r="D21" s="53">
        <v>32.799999999999997</v>
      </c>
      <c r="E21" s="53">
        <v>60</v>
      </c>
      <c r="F21" s="53">
        <f>49.1+27.8</f>
        <v>76.900000000000006</v>
      </c>
      <c r="G21" s="16">
        <f t="shared" si="0"/>
        <v>16.900000000000006</v>
      </c>
      <c r="H21" s="16">
        <f t="shared" si="1"/>
        <v>128.16666666666669</v>
      </c>
      <c r="J21" s="98">
        <v>1024</v>
      </c>
      <c r="K21" s="39">
        <f>SUM(D383)</f>
        <v>1297.7</v>
      </c>
      <c r="L21" s="39">
        <f>SUM(E383)</f>
        <v>1060</v>
      </c>
      <c r="M21" s="39">
        <f>SUM(F383)</f>
        <v>475.4</v>
      </c>
      <c r="N21" s="39"/>
      <c r="O21" s="39"/>
      <c r="P21" s="5"/>
    </row>
    <row r="22" spans="1:18" ht="26.25" customHeight="1">
      <c r="A22" s="52"/>
      <c r="B22" s="18" t="s">
        <v>147</v>
      </c>
      <c r="C22" s="17"/>
      <c r="D22" s="53">
        <v>172.4</v>
      </c>
      <c r="E22" s="53">
        <v>250</v>
      </c>
      <c r="F22" s="53">
        <f>340.3+107.6</f>
        <v>447.9</v>
      </c>
      <c r="G22" s="16">
        <f t="shared" si="0"/>
        <v>197.89999999999998</v>
      </c>
      <c r="H22" s="16">
        <f t="shared" si="1"/>
        <v>179.16</v>
      </c>
      <c r="J22" s="98">
        <v>1025</v>
      </c>
      <c r="K22" s="49">
        <f>SUM(D47,D113,D176,D209,D241,D280,D316,D355)</f>
        <v>787.40000000000009</v>
      </c>
      <c r="L22" s="2">
        <f>SUM(E47,E113,E176,E209,E241,E280,E316,E355)</f>
        <v>1016.1999999999999</v>
      </c>
      <c r="M22" s="2">
        <f>SUM(F47,F113,F176,F209,F241,F280,F316,F355)</f>
        <v>1135.4000000000001</v>
      </c>
      <c r="N22" s="38"/>
      <c r="O22" s="38"/>
    </row>
    <row r="23" spans="1:18" ht="26.25" customHeight="1">
      <c r="A23" s="52"/>
      <c r="B23" s="18" t="s">
        <v>148</v>
      </c>
      <c r="C23" s="17"/>
      <c r="D23" s="53">
        <v>72.900000000000006</v>
      </c>
      <c r="E23" s="53"/>
      <c r="F23" s="53"/>
      <c r="G23" s="16">
        <f t="shared" si="0"/>
        <v>0</v>
      </c>
      <c r="H23" s="59" t="e">
        <f t="shared" si="1"/>
        <v>#DIV/0!</v>
      </c>
      <c r="K23" s="100"/>
      <c r="L23" s="100"/>
      <c r="M23" s="100"/>
      <c r="N23" s="38"/>
      <c r="O23" s="38"/>
    </row>
    <row r="24" spans="1:18" ht="26.25" customHeight="1">
      <c r="A24" s="52"/>
      <c r="B24" s="18" t="s">
        <v>149</v>
      </c>
      <c r="C24" s="17"/>
      <c r="D24" s="53">
        <v>41.5</v>
      </c>
      <c r="E24" s="53">
        <v>76.400000000000006</v>
      </c>
      <c r="F24" s="53">
        <f>76.3+29.4</f>
        <v>105.69999999999999</v>
      </c>
      <c r="G24" s="16">
        <f t="shared" si="0"/>
        <v>29.299999999999983</v>
      </c>
      <c r="H24" s="16">
        <f t="shared" si="1"/>
        <v>138.3507853403141</v>
      </c>
      <c r="J24" s="98">
        <v>1030</v>
      </c>
      <c r="K24" s="100">
        <f>SUM(D54,D66,D125,D181,D215,D246,D260,D267,D288,D368,)</f>
        <v>974.2</v>
      </c>
      <c r="L24" s="100">
        <f>SUM(E54,E66,E125,E181,E215,E246,E260,E267,E288,E368,)</f>
        <v>2057.1999999999998</v>
      </c>
      <c r="M24" s="5">
        <f>SUM(F54,F66,F125,F181,F215,F246,F260,F267,F288,F368,)</f>
        <v>1905.5</v>
      </c>
      <c r="N24" s="38"/>
      <c r="O24" s="38"/>
    </row>
    <row r="25" spans="1:18" ht="26.25" customHeight="1">
      <c r="A25" s="52"/>
      <c r="B25" s="18" t="s">
        <v>150</v>
      </c>
      <c r="C25" s="17"/>
      <c r="D25" s="53">
        <v>209.8</v>
      </c>
      <c r="E25" s="53">
        <v>320</v>
      </c>
      <c r="F25" s="53">
        <f>97.3+44.6</f>
        <v>141.9</v>
      </c>
      <c r="G25" s="16">
        <f t="shared" si="0"/>
        <v>-178.1</v>
      </c>
      <c r="H25" s="16">
        <f t="shared" si="1"/>
        <v>44.343750000000007</v>
      </c>
      <c r="J25" s="98">
        <v>1031</v>
      </c>
      <c r="K25" s="39">
        <f>SUM(D247,)</f>
        <v>0</v>
      </c>
      <c r="L25" s="39">
        <f>SUM(E247,)</f>
        <v>63.3</v>
      </c>
      <c r="M25" s="39">
        <f>SUM(F247,)</f>
        <v>0</v>
      </c>
    </row>
    <row r="26" spans="1:18" ht="26.25" customHeight="1">
      <c r="A26" s="52"/>
      <c r="B26" s="18" t="s">
        <v>151</v>
      </c>
      <c r="C26" s="17" t="s">
        <v>233</v>
      </c>
      <c r="D26" s="53">
        <v>109.5</v>
      </c>
      <c r="E26" s="53">
        <v>300</v>
      </c>
      <c r="F26" s="53">
        <f>87+617.9</f>
        <v>704.9</v>
      </c>
      <c r="G26" s="16">
        <f t="shared" si="0"/>
        <v>404.9</v>
      </c>
      <c r="H26" s="16">
        <f t="shared" si="1"/>
        <v>234.96666666666667</v>
      </c>
      <c r="J26" s="98">
        <v>1032</v>
      </c>
      <c r="K26" s="39">
        <f t="shared" ref="K26:M27" si="4">SUM(D55,D67,)</f>
        <v>659.4</v>
      </c>
      <c r="L26" s="39">
        <f t="shared" si="4"/>
        <v>1447.2</v>
      </c>
      <c r="M26" s="39">
        <f t="shared" si="4"/>
        <v>1306.4000000000001</v>
      </c>
      <c r="N26" s="38"/>
      <c r="O26" s="38"/>
    </row>
    <row r="27" spans="1:18" ht="26.25" customHeight="1">
      <c r="A27" s="52"/>
      <c r="B27" s="18" t="s">
        <v>152</v>
      </c>
      <c r="C27" s="17"/>
      <c r="D27" s="53">
        <v>30.1</v>
      </c>
      <c r="E27" s="53">
        <v>70</v>
      </c>
      <c r="F27" s="53">
        <v>109</v>
      </c>
      <c r="G27" s="16">
        <f t="shared" si="0"/>
        <v>39</v>
      </c>
      <c r="H27" s="16">
        <f t="shared" si="1"/>
        <v>155.71428571428572</v>
      </c>
      <c r="J27" s="98">
        <v>1033</v>
      </c>
      <c r="K27" s="39">
        <f t="shared" si="4"/>
        <v>182</v>
      </c>
      <c r="L27" s="2">
        <f t="shared" si="4"/>
        <v>318.39999999999998</v>
      </c>
      <c r="M27" s="2">
        <f t="shared" si="4"/>
        <v>336.1</v>
      </c>
      <c r="N27" s="38"/>
      <c r="O27" s="38"/>
    </row>
    <row r="28" spans="1:18" ht="26.25" customHeight="1">
      <c r="A28" s="52"/>
      <c r="B28" s="18" t="s">
        <v>166</v>
      </c>
      <c r="C28" s="17"/>
      <c r="D28" s="53">
        <v>61.9</v>
      </c>
      <c r="E28" s="53">
        <v>82</v>
      </c>
      <c r="F28" s="53">
        <f>22.1+26.5+2</f>
        <v>50.6</v>
      </c>
      <c r="G28" s="16">
        <f t="shared" si="0"/>
        <v>-31.4</v>
      </c>
      <c r="H28" s="16">
        <f t="shared" si="1"/>
        <v>61.707317073170728</v>
      </c>
      <c r="J28" s="98">
        <v>1034</v>
      </c>
      <c r="K28" s="39"/>
      <c r="L28" s="39"/>
      <c r="M28" s="39"/>
      <c r="N28" s="38"/>
      <c r="O28" s="38"/>
    </row>
    <row r="29" spans="1:18" ht="26.25" customHeight="1">
      <c r="A29" s="52"/>
      <c r="B29" s="18" t="s">
        <v>272</v>
      </c>
      <c r="C29" s="17"/>
      <c r="D29" s="53"/>
      <c r="E29" s="53"/>
      <c r="F29" s="53">
        <f>3+9</f>
        <v>12</v>
      </c>
      <c r="G29" s="16">
        <f t="shared" si="0"/>
        <v>12</v>
      </c>
      <c r="H29" s="59" t="e">
        <f t="shared" si="1"/>
        <v>#DIV/0!</v>
      </c>
      <c r="J29" s="98">
        <v>1035</v>
      </c>
      <c r="K29" s="39">
        <f>SUM(D57,D126,D182,D216,D261,D268,D369,D289)</f>
        <v>132.80000000000001</v>
      </c>
      <c r="L29" s="49">
        <f>SUM(E57,E126,E182,E216,E261,E268,E369,E289)</f>
        <v>228.3</v>
      </c>
      <c r="M29" s="49">
        <f>SUM(F57,F126,F182,F216,F261,F268,F369,F289)</f>
        <v>263</v>
      </c>
      <c r="N29" s="38"/>
      <c r="O29" s="38"/>
    </row>
    <row r="30" spans="1:18" ht="26.25" customHeight="1">
      <c r="A30" s="52"/>
      <c r="B30" s="18" t="s">
        <v>169</v>
      </c>
      <c r="C30" s="17"/>
      <c r="D30" s="53"/>
      <c r="E30" s="53"/>
      <c r="F30" s="53">
        <f>36+54</f>
        <v>90</v>
      </c>
      <c r="G30" s="16">
        <f t="shared" si="0"/>
        <v>90</v>
      </c>
      <c r="H30" s="59" t="e">
        <f t="shared" si="1"/>
        <v>#DIV/0!</v>
      </c>
      <c r="K30" s="21"/>
      <c r="L30" s="49"/>
      <c r="M30" s="49"/>
      <c r="N30" s="38"/>
      <c r="O30" s="38"/>
      <c r="R30" s="21"/>
    </row>
    <row r="31" spans="1:18" ht="26.25" customHeight="1">
      <c r="A31" s="52"/>
      <c r="B31" s="18" t="s">
        <v>167</v>
      </c>
      <c r="C31" s="17"/>
      <c r="D31" s="53"/>
      <c r="E31" s="53"/>
      <c r="F31" s="53">
        <f>2.7</f>
        <v>2.7</v>
      </c>
      <c r="G31" s="16">
        <f t="shared" si="0"/>
        <v>2.7</v>
      </c>
      <c r="H31" s="59" t="e">
        <f t="shared" si="1"/>
        <v>#DIV/0!</v>
      </c>
      <c r="J31" s="98">
        <v>9000</v>
      </c>
      <c r="K31" s="21">
        <f t="shared" ref="K31:M35" si="5">K11+K18+K25</f>
        <v>15747.4</v>
      </c>
      <c r="L31" s="49">
        <f t="shared" si="5"/>
        <v>17506.3</v>
      </c>
      <c r="M31" s="49">
        <f t="shared" si="5"/>
        <v>29864</v>
      </c>
      <c r="N31" s="38"/>
      <c r="O31" s="38"/>
    </row>
    <row r="32" spans="1:18" ht="26.25" customHeight="1">
      <c r="A32" s="52"/>
      <c r="B32" s="18" t="s">
        <v>446</v>
      </c>
      <c r="C32" s="17"/>
      <c r="D32" s="53"/>
      <c r="E32" s="53"/>
      <c r="F32" s="53">
        <f>26.7</f>
        <v>26.7</v>
      </c>
      <c r="G32" s="16">
        <f t="shared" si="0"/>
        <v>26.7</v>
      </c>
      <c r="H32" s="59" t="e">
        <f t="shared" si="1"/>
        <v>#DIV/0!</v>
      </c>
      <c r="J32" s="98">
        <v>9010</v>
      </c>
      <c r="K32" s="21">
        <f t="shared" si="5"/>
        <v>64938.400000000001</v>
      </c>
      <c r="L32" s="49">
        <f t="shared" si="5"/>
        <v>92430.799999999988</v>
      </c>
      <c r="M32" s="49">
        <f t="shared" si="5"/>
        <v>76382.899999999994</v>
      </c>
      <c r="N32" s="38"/>
      <c r="O32" s="38"/>
    </row>
    <row r="33" spans="1:15" ht="26.25" customHeight="1">
      <c r="A33" s="52"/>
      <c r="B33" s="18" t="s">
        <v>168</v>
      </c>
      <c r="C33" s="17"/>
      <c r="D33" s="53">
        <v>66.5</v>
      </c>
      <c r="E33" s="53">
        <v>100</v>
      </c>
      <c r="F33" s="53">
        <f>89.1+65</f>
        <v>154.1</v>
      </c>
      <c r="G33" s="16">
        <f t="shared" si="0"/>
        <v>54.099999999999994</v>
      </c>
      <c r="H33" s="16">
        <f t="shared" si="1"/>
        <v>154.1</v>
      </c>
      <c r="J33" s="98">
        <v>9020</v>
      </c>
      <c r="K33" s="21">
        <f t="shared" si="5"/>
        <v>13720.2</v>
      </c>
      <c r="L33" s="49">
        <f t="shared" si="5"/>
        <v>22536.400000000005</v>
      </c>
      <c r="M33" s="49">
        <f t="shared" si="5"/>
        <v>16218.6</v>
      </c>
      <c r="N33" s="38"/>
      <c r="O33" s="38"/>
    </row>
    <row r="34" spans="1:15" ht="29.25" customHeight="1">
      <c r="A34" s="52"/>
      <c r="B34" s="24" t="s">
        <v>153</v>
      </c>
      <c r="C34" s="17"/>
      <c r="D34" s="53">
        <v>38.700000000000003</v>
      </c>
      <c r="E34" s="53">
        <v>61.6</v>
      </c>
      <c r="F34" s="53">
        <f>46.4+18.5</f>
        <v>64.900000000000006</v>
      </c>
      <c r="G34" s="16">
        <f t="shared" si="0"/>
        <v>3.3000000000000043</v>
      </c>
      <c r="H34" s="16">
        <f t="shared" si="1"/>
        <v>105.35714285714286</v>
      </c>
      <c r="J34" s="98">
        <v>9030</v>
      </c>
      <c r="K34" s="21">
        <f t="shared" si="5"/>
        <v>3764.5</v>
      </c>
      <c r="L34" s="49">
        <f t="shared" si="5"/>
        <v>2860</v>
      </c>
      <c r="M34" s="49">
        <f t="shared" si="5"/>
        <v>6854.0999999999995</v>
      </c>
      <c r="N34" s="38"/>
      <c r="O34" s="38"/>
    </row>
    <row r="35" spans="1:15" ht="26.25" customHeight="1">
      <c r="A35" s="52"/>
      <c r="B35" s="18" t="s">
        <v>154</v>
      </c>
      <c r="C35" s="17"/>
      <c r="D35" s="53">
        <v>1.6</v>
      </c>
      <c r="E35" s="53">
        <v>40</v>
      </c>
      <c r="F35" s="53"/>
      <c r="G35" s="16">
        <f t="shared" si="0"/>
        <v>-40</v>
      </c>
      <c r="H35" s="16">
        <f t="shared" si="1"/>
        <v>0</v>
      </c>
      <c r="J35" s="98">
        <v>9040</v>
      </c>
      <c r="K35" s="21">
        <f t="shared" si="5"/>
        <v>10337.6</v>
      </c>
      <c r="L35" s="49">
        <f t="shared" si="5"/>
        <v>13886.400000000001</v>
      </c>
      <c r="M35" s="49">
        <f t="shared" si="5"/>
        <v>14982.600000000002</v>
      </c>
      <c r="N35" s="38"/>
      <c r="O35" s="38"/>
    </row>
    <row r="36" spans="1:15" ht="26.25" customHeight="1">
      <c r="A36" s="52"/>
      <c r="B36" s="18" t="s">
        <v>484</v>
      </c>
      <c r="C36" s="17"/>
      <c r="D36" s="53">
        <v>16</v>
      </c>
      <c r="E36" s="53"/>
      <c r="F36" s="53"/>
      <c r="G36" s="16">
        <f t="shared" si="0"/>
        <v>0</v>
      </c>
      <c r="H36" s="59" t="e">
        <f t="shared" si="1"/>
        <v>#DIV/0!</v>
      </c>
      <c r="J36" s="98">
        <v>9050</v>
      </c>
      <c r="K36" s="29">
        <f>SUM(K31:K35)</f>
        <v>108508.1</v>
      </c>
      <c r="L36" s="35">
        <f>SUM(L31:L35)</f>
        <v>149219.9</v>
      </c>
      <c r="M36" s="35">
        <f>SUM(M31:M35)</f>
        <v>144302.20000000001</v>
      </c>
      <c r="N36" s="38"/>
      <c r="O36" s="38"/>
    </row>
    <row r="37" spans="1:15" ht="26.25" customHeight="1">
      <c r="A37" s="52"/>
      <c r="B37" s="18" t="s">
        <v>483</v>
      </c>
      <c r="C37" s="17"/>
      <c r="D37" s="53">
        <v>4.8</v>
      </c>
      <c r="E37" s="53"/>
      <c r="F37" s="53"/>
      <c r="G37" s="16">
        <f t="shared" si="0"/>
        <v>0</v>
      </c>
      <c r="H37" s="59" t="e">
        <f t="shared" si="1"/>
        <v>#DIV/0!</v>
      </c>
      <c r="K37" s="29"/>
      <c r="L37" s="35"/>
      <c r="M37" s="35"/>
      <c r="N37" s="38"/>
      <c r="O37" s="38"/>
    </row>
    <row r="38" spans="1:15" ht="26.25" customHeight="1">
      <c r="A38" s="52"/>
      <c r="B38" s="18" t="s">
        <v>165</v>
      </c>
      <c r="C38" s="17"/>
      <c r="D38" s="53"/>
      <c r="E38" s="53"/>
      <c r="F38" s="53">
        <v>2.2000000000000002</v>
      </c>
      <c r="G38" s="16">
        <f t="shared" si="0"/>
        <v>2.2000000000000002</v>
      </c>
      <c r="H38" s="59" t="e">
        <f t="shared" si="1"/>
        <v>#DIV/0!</v>
      </c>
      <c r="K38" s="29"/>
      <c r="L38" s="35"/>
      <c r="M38" s="35"/>
      <c r="N38" s="38"/>
      <c r="O38" s="38"/>
    </row>
    <row r="39" spans="1:15" ht="26.25" customHeight="1">
      <c r="A39" s="52"/>
      <c r="B39" s="18" t="s">
        <v>239</v>
      </c>
      <c r="C39" s="17"/>
      <c r="D39" s="53"/>
      <c r="E39" s="53"/>
      <c r="F39" s="53">
        <f>14</f>
        <v>14</v>
      </c>
      <c r="G39" s="16">
        <f t="shared" si="0"/>
        <v>14</v>
      </c>
      <c r="H39" s="59" t="e">
        <f t="shared" si="1"/>
        <v>#DIV/0!</v>
      </c>
      <c r="L39" s="49"/>
      <c r="M39" s="49"/>
      <c r="N39" s="38"/>
      <c r="O39" s="38"/>
    </row>
    <row r="40" spans="1:15" ht="26.25" customHeight="1">
      <c r="A40" s="41" t="s">
        <v>88</v>
      </c>
      <c r="B40" s="23" t="s">
        <v>92</v>
      </c>
      <c r="C40" s="191">
        <v>1020</v>
      </c>
      <c r="D40" s="15">
        <f>D45+D46+D47</f>
        <v>5612.8</v>
      </c>
      <c r="E40" s="15">
        <f>E45+E46+E47+E41</f>
        <v>2930</v>
      </c>
      <c r="F40" s="15">
        <f>F45+F46+F47+F41</f>
        <v>6921.7999999999993</v>
      </c>
      <c r="G40" s="20">
        <f t="shared" si="0"/>
        <v>3991.7999999999993</v>
      </c>
      <c r="H40" s="20">
        <f t="shared" si="1"/>
        <v>236.2389078498293</v>
      </c>
      <c r="I40" s="91"/>
    </row>
    <row r="41" spans="1:15" ht="26.25" customHeight="1">
      <c r="A41" s="76" t="s">
        <v>349</v>
      </c>
      <c r="B41" s="72" t="s">
        <v>107</v>
      </c>
      <c r="C41" s="73">
        <v>1021</v>
      </c>
      <c r="D41" s="45"/>
      <c r="E41" s="45"/>
      <c r="F41" s="45">
        <f>F42+F44+F43</f>
        <v>32</v>
      </c>
      <c r="G41" s="46">
        <f t="shared" si="0"/>
        <v>32</v>
      </c>
      <c r="H41" s="177" t="e">
        <f t="shared" si="1"/>
        <v>#DIV/0!</v>
      </c>
      <c r="J41" s="29">
        <f>D10+D47+D20+D57+D41+D72+D82+D109+D113+D126+D146+D155+D173+D176+D182+D187+D193+D201+D204+D209+D216+D221+D231+D239+D241+D247+D261+D275+D280+D289+D323+D328+D335+D352+D355+D369</f>
        <v>22537.199999999997</v>
      </c>
      <c r="K41" s="5">
        <f>E10+E47+E20+E57+E41+E72+E82+E109+E113+E126+E146+E155+E173+E176+E182+E187+E193+E201+E204+E209+E216+E221+E231+E239+E241+E247+E261+E275+E280+E289+E323+E328+E335+E352+E355+E369</f>
        <v>31357.5</v>
      </c>
      <c r="L41" s="35">
        <f>F10+F47+F20+F57+F41+F72+F82+F109+F113+F126+F146+F155+F173+F176+F182+F187+F193+F201+F204+F209+F216+F221+F231+F239+F241+F247+F261+F275+F280+F289+F323+F328+F335+F352+F355+F369</f>
        <v>33597.4</v>
      </c>
      <c r="M41" s="35"/>
    </row>
    <row r="42" spans="1:15" ht="26.25" customHeight="1">
      <c r="A42" s="41"/>
      <c r="B42" s="24" t="s">
        <v>271</v>
      </c>
      <c r="C42" s="12"/>
      <c r="D42" s="19"/>
      <c r="E42" s="19"/>
      <c r="F42" s="19">
        <f>6.9+13.1</f>
        <v>20</v>
      </c>
      <c r="G42" s="20">
        <f t="shared" si="0"/>
        <v>20</v>
      </c>
      <c r="H42" s="178" t="e">
        <f t="shared" si="1"/>
        <v>#DIV/0!</v>
      </c>
      <c r="L42" s="49"/>
      <c r="M42" s="49"/>
    </row>
    <row r="43" spans="1:15" ht="26.25" customHeight="1">
      <c r="A43" s="41"/>
      <c r="B43" s="198" t="s">
        <v>163</v>
      </c>
      <c r="C43" s="12"/>
      <c r="D43" s="19"/>
      <c r="E43" s="19"/>
      <c r="F43" s="19">
        <f>3.4+3.8</f>
        <v>7.1999999999999993</v>
      </c>
      <c r="G43" s="20">
        <f t="shared" si="0"/>
        <v>7.1999999999999993</v>
      </c>
      <c r="H43" s="178" t="e">
        <f t="shared" si="1"/>
        <v>#DIV/0!</v>
      </c>
      <c r="L43" s="49"/>
      <c r="M43" s="49"/>
    </row>
    <row r="44" spans="1:15" ht="39.75" customHeight="1">
      <c r="A44" s="41"/>
      <c r="B44" s="18" t="s">
        <v>162</v>
      </c>
      <c r="C44" s="12"/>
      <c r="D44" s="19"/>
      <c r="E44" s="19"/>
      <c r="F44" s="19">
        <f>4.2+0.6</f>
        <v>4.8</v>
      </c>
      <c r="G44" s="20">
        <f t="shared" si="0"/>
        <v>4.8</v>
      </c>
      <c r="H44" s="178" t="e">
        <f t="shared" si="1"/>
        <v>#DIV/0!</v>
      </c>
      <c r="L44" s="49"/>
      <c r="M44" s="49"/>
    </row>
    <row r="45" spans="1:15" ht="31.5" customHeight="1">
      <c r="A45" s="42" t="s">
        <v>155</v>
      </c>
      <c r="B45" s="43" t="s">
        <v>2</v>
      </c>
      <c r="C45" s="50">
        <v>1022</v>
      </c>
      <c r="D45" s="45">
        <v>4420.7</v>
      </c>
      <c r="E45" s="45">
        <v>1978.4</v>
      </c>
      <c r="F45" s="45">
        <v>5198.8999999999996</v>
      </c>
      <c r="G45" s="46">
        <f t="shared" si="0"/>
        <v>3220.4999999999995</v>
      </c>
      <c r="H45" s="46">
        <f t="shared" si="1"/>
        <v>262.78305701577028</v>
      </c>
      <c r="L45" s="49"/>
      <c r="M45" s="49"/>
      <c r="N45" s="54"/>
      <c r="O45" s="54"/>
    </row>
    <row r="46" spans="1:15" ht="26.25" customHeight="1">
      <c r="A46" s="42" t="s">
        <v>156</v>
      </c>
      <c r="B46" s="43" t="s">
        <v>3</v>
      </c>
      <c r="C46" s="50">
        <v>1023</v>
      </c>
      <c r="D46" s="45">
        <v>906.5</v>
      </c>
      <c r="E46" s="45">
        <v>435.2</v>
      </c>
      <c r="F46" s="45">
        <v>1071.9000000000001</v>
      </c>
      <c r="G46" s="46">
        <f t="shared" si="0"/>
        <v>636.70000000000005</v>
      </c>
      <c r="H46" s="46">
        <f t="shared" si="1"/>
        <v>246.30055147058826</v>
      </c>
      <c r="L46" s="49"/>
      <c r="M46" s="49"/>
      <c r="N46" s="54"/>
      <c r="O46" s="54"/>
    </row>
    <row r="47" spans="1:15" ht="26.25" customHeight="1">
      <c r="A47" s="42" t="s">
        <v>157</v>
      </c>
      <c r="B47" s="43" t="s">
        <v>158</v>
      </c>
      <c r="C47" s="44">
        <v>1025</v>
      </c>
      <c r="D47" s="45">
        <f>SUM(D48:D53)</f>
        <v>285.60000000000002</v>
      </c>
      <c r="E47" s="45">
        <f>SUM(E48:E53)</f>
        <v>516.4</v>
      </c>
      <c r="F47" s="45">
        <f>SUM(F48:F53)</f>
        <v>619</v>
      </c>
      <c r="G47" s="46">
        <f t="shared" si="0"/>
        <v>102.60000000000002</v>
      </c>
      <c r="H47" s="46">
        <f t="shared" si="1"/>
        <v>119.86831913245545</v>
      </c>
      <c r="I47" s="39"/>
      <c r="L47" s="35"/>
      <c r="M47" s="35"/>
      <c r="N47" s="55"/>
      <c r="O47" s="55"/>
    </row>
    <row r="48" spans="1:15" ht="26.25" customHeight="1">
      <c r="A48" s="56"/>
      <c r="B48" s="18" t="s">
        <v>154</v>
      </c>
      <c r="C48" s="48"/>
      <c r="D48" s="19">
        <v>3.6</v>
      </c>
      <c r="E48" s="19">
        <v>1.6</v>
      </c>
      <c r="F48" s="19"/>
      <c r="G48" s="16">
        <f t="shared" si="0"/>
        <v>-1.6</v>
      </c>
      <c r="H48" s="16">
        <f t="shared" si="1"/>
        <v>0</v>
      </c>
      <c r="N48" s="55"/>
      <c r="O48" s="55"/>
    </row>
    <row r="49" spans="1:15" ht="26.25" customHeight="1">
      <c r="A49" s="56"/>
      <c r="B49" s="18" t="s">
        <v>169</v>
      </c>
      <c r="C49" s="48"/>
      <c r="D49" s="19">
        <v>100.5</v>
      </c>
      <c r="E49" s="19">
        <v>110</v>
      </c>
      <c r="F49" s="19">
        <f>14.1</f>
        <v>14.1</v>
      </c>
      <c r="G49" s="16">
        <f t="shared" si="0"/>
        <v>-95.9</v>
      </c>
      <c r="H49" s="16">
        <f t="shared" si="1"/>
        <v>12.818181818181817</v>
      </c>
      <c r="N49" s="55"/>
      <c r="O49" s="55"/>
    </row>
    <row r="50" spans="1:15" ht="27" customHeight="1">
      <c r="A50" s="56"/>
      <c r="B50" s="18" t="s">
        <v>267</v>
      </c>
      <c r="C50" s="48"/>
      <c r="D50" s="19">
        <v>161</v>
      </c>
      <c r="E50" s="19">
        <v>400</v>
      </c>
      <c r="F50" s="19">
        <f>297+150</f>
        <v>447</v>
      </c>
      <c r="G50" s="16">
        <f t="shared" si="0"/>
        <v>47</v>
      </c>
      <c r="H50" s="16">
        <f t="shared" si="1"/>
        <v>111.75</v>
      </c>
      <c r="N50" s="54"/>
      <c r="O50" s="54"/>
    </row>
    <row r="51" spans="1:15" ht="27" customHeight="1">
      <c r="A51" s="56"/>
      <c r="B51" s="18" t="s">
        <v>327</v>
      </c>
      <c r="C51" s="48"/>
      <c r="D51" s="19">
        <v>20.5</v>
      </c>
      <c r="E51" s="19"/>
      <c r="F51" s="19">
        <f>16.2</f>
        <v>16.2</v>
      </c>
      <c r="G51" s="16">
        <f t="shared" si="0"/>
        <v>16.2</v>
      </c>
      <c r="H51" s="59" t="e">
        <f t="shared" si="1"/>
        <v>#DIV/0!</v>
      </c>
      <c r="N51" s="54"/>
      <c r="O51" s="54"/>
    </row>
    <row r="52" spans="1:15" s="51" customFormat="1" ht="27" customHeight="1">
      <c r="A52" s="133"/>
      <c r="B52" s="84" t="s">
        <v>655</v>
      </c>
      <c r="C52" s="12"/>
      <c r="D52" s="19"/>
      <c r="E52" s="19"/>
      <c r="F52" s="19">
        <v>141.69999999999999</v>
      </c>
      <c r="G52" s="16">
        <f t="shared" si="0"/>
        <v>141.69999999999999</v>
      </c>
      <c r="H52" s="59" t="e">
        <f t="shared" si="1"/>
        <v>#DIV/0!</v>
      </c>
      <c r="J52" s="135"/>
      <c r="K52" s="136"/>
      <c r="N52" s="137"/>
      <c r="O52" s="137"/>
    </row>
    <row r="53" spans="1:15" ht="26.25" customHeight="1">
      <c r="A53" s="56"/>
      <c r="B53" s="18" t="s">
        <v>159</v>
      </c>
      <c r="C53" s="48"/>
      <c r="D53" s="19"/>
      <c r="E53" s="19">
        <v>4.8</v>
      </c>
      <c r="F53" s="19"/>
      <c r="G53" s="16">
        <f t="shared" si="0"/>
        <v>-4.8</v>
      </c>
      <c r="H53" s="16">
        <f t="shared" si="1"/>
        <v>0</v>
      </c>
      <c r="N53" s="37"/>
      <c r="O53" s="37"/>
    </row>
    <row r="54" spans="1:15" ht="25.5" customHeight="1">
      <c r="A54" s="41" t="s">
        <v>91</v>
      </c>
      <c r="B54" s="192" t="s">
        <v>93</v>
      </c>
      <c r="C54" s="191">
        <v>1030</v>
      </c>
      <c r="D54" s="15">
        <f>D55+D56+D57</f>
        <v>848.3</v>
      </c>
      <c r="E54" s="15">
        <f>E55+E56+E57</f>
        <v>8</v>
      </c>
      <c r="F54" s="15">
        <f>F55+F56+F57</f>
        <v>1662.8</v>
      </c>
      <c r="G54" s="20">
        <f t="shared" si="0"/>
        <v>1654.8</v>
      </c>
      <c r="H54" s="20">
        <f t="shared" si="1"/>
        <v>20785</v>
      </c>
      <c r="M54" s="49"/>
    </row>
    <row r="55" spans="1:15" ht="26.25" customHeight="1">
      <c r="A55" s="42" t="s">
        <v>160</v>
      </c>
      <c r="B55" s="43" t="s">
        <v>2</v>
      </c>
      <c r="C55" s="50">
        <v>1032</v>
      </c>
      <c r="D55" s="45">
        <v>659.4</v>
      </c>
      <c r="E55" s="45"/>
      <c r="F55" s="45">
        <f>1251.7+54.7</f>
        <v>1306.4000000000001</v>
      </c>
      <c r="G55" s="46">
        <f t="shared" si="0"/>
        <v>1306.4000000000001</v>
      </c>
      <c r="H55" s="177" t="e">
        <f t="shared" si="1"/>
        <v>#DIV/0!</v>
      </c>
    </row>
    <row r="56" spans="1:15" ht="23.25" customHeight="1">
      <c r="A56" s="42" t="s">
        <v>161</v>
      </c>
      <c r="B56" s="43" t="s">
        <v>3</v>
      </c>
      <c r="C56" s="50">
        <v>1033</v>
      </c>
      <c r="D56" s="45">
        <v>182</v>
      </c>
      <c r="E56" s="45"/>
      <c r="F56" s="45">
        <v>336.1</v>
      </c>
      <c r="G56" s="46">
        <f t="shared" si="0"/>
        <v>336.1</v>
      </c>
      <c r="H56" s="177" t="e">
        <f t="shared" si="1"/>
        <v>#DIV/0!</v>
      </c>
      <c r="L56" s="57"/>
      <c r="M56" s="57"/>
    </row>
    <row r="57" spans="1:15" ht="23.25" customHeight="1">
      <c r="A57" s="42" t="s">
        <v>280</v>
      </c>
      <c r="B57" s="43" t="s">
        <v>93</v>
      </c>
      <c r="C57" s="50">
        <v>1035</v>
      </c>
      <c r="D57" s="45">
        <f>D58</f>
        <v>6.9</v>
      </c>
      <c r="E57" s="45">
        <f>E58</f>
        <v>8</v>
      </c>
      <c r="F57" s="45">
        <f>F58</f>
        <v>20.3</v>
      </c>
      <c r="G57" s="46">
        <f t="shared" si="0"/>
        <v>12.3</v>
      </c>
      <c r="H57" s="46">
        <f t="shared" si="1"/>
        <v>253.75</v>
      </c>
      <c r="L57" s="57"/>
      <c r="M57" s="57"/>
    </row>
    <row r="58" spans="1:15" ht="23.25" customHeight="1">
      <c r="A58" s="42"/>
      <c r="B58" s="18" t="s">
        <v>279</v>
      </c>
      <c r="C58" s="50"/>
      <c r="D58" s="19">
        <v>6.9</v>
      </c>
      <c r="E58" s="19">
        <v>8</v>
      </c>
      <c r="F58" s="19">
        <v>20.3</v>
      </c>
      <c r="G58" s="46">
        <f t="shared" si="0"/>
        <v>12.3</v>
      </c>
      <c r="H58" s="46">
        <f t="shared" si="1"/>
        <v>253.75</v>
      </c>
      <c r="L58" s="57"/>
      <c r="M58" s="57"/>
    </row>
    <row r="59" spans="1:15" ht="42" customHeight="1">
      <c r="A59" s="189" t="s">
        <v>94</v>
      </c>
      <c r="B59" s="23" t="s">
        <v>241</v>
      </c>
      <c r="C59" s="58"/>
      <c r="D59" s="15">
        <f>D61</f>
        <v>371</v>
      </c>
      <c r="E59" s="15">
        <f>E61</f>
        <v>0</v>
      </c>
      <c r="F59" s="15">
        <f>F61</f>
        <v>0</v>
      </c>
      <c r="G59" s="20">
        <f t="shared" si="0"/>
        <v>0</v>
      </c>
      <c r="H59" s="59" t="e">
        <f t="shared" si="1"/>
        <v>#DIV/0!</v>
      </c>
    </row>
    <row r="60" spans="1:15" ht="28.5" customHeight="1">
      <c r="A60" s="4"/>
      <c r="B60" s="40" t="s">
        <v>86</v>
      </c>
      <c r="C60" s="12"/>
      <c r="D60" s="53"/>
      <c r="E60" s="53"/>
      <c r="F60" s="15"/>
      <c r="G60" s="16"/>
      <c r="H60" s="16"/>
    </row>
    <row r="61" spans="1:15" ht="26.25" customHeight="1">
      <c r="A61" s="41" t="s">
        <v>95</v>
      </c>
      <c r="B61" s="190" t="s">
        <v>90</v>
      </c>
      <c r="C61" s="191">
        <v>1010</v>
      </c>
      <c r="D61" s="15">
        <f>D62+D63</f>
        <v>371</v>
      </c>
      <c r="E61" s="15">
        <f>E62+E63</f>
        <v>0</v>
      </c>
      <c r="F61" s="15">
        <f>F62+F63</f>
        <v>0</v>
      </c>
      <c r="G61" s="20">
        <f t="shared" si="0"/>
        <v>0</v>
      </c>
      <c r="H61" s="178" t="e">
        <f t="shared" si="1"/>
        <v>#DIV/0!</v>
      </c>
    </row>
    <row r="62" spans="1:15" ht="27.75" customHeight="1">
      <c r="A62" s="42" t="s">
        <v>451</v>
      </c>
      <c r="B62" s="43" t="s">
        <v>2</v>
      </c>
      <c r="C62" s="50">
        <v>1012</v>
      </c>
      <c r="D62" s="45">
        <v>289.39999999999998</v>
      </c>
      <c r="E62" s="45"/>
      <c r="F62" s="45"/>
      <c r="G62" s="46">
        <f t="shared" si="0"/>
        <v>0</v>
      </c>
      <c r="H62" s="177" t="e">
        <f t="shared" si="1"/>
        <v>#DIV/0!</v>
      </c>
    </row>
    <row r="63" spans="1:15" ht="27.75" customHeight="1">
      <c r="A63" s="42" t="s">
        <v>164</v>
      </c>
      <c r="B63" s="43" t="s">
        <v>3</v>
      </c>
      <c r="C63" s="50">
        <v>1013</v>
      </c>
      <c r="D63" s="45">
        <v>81.599999999999994</v>
      </c>
      <c r="E63" s="45"/>
      <c r="F63" s="45"/>
      <c r="G63" s="46">
        <f t="shared" si="0"/>
        <v>0</v>
      </c>
      <c r="H63" s="177" t="e">
        <f t="shared" si="1"/>
        <v>#DIV/0!</v>
      </c>
    </row>
    <row r="64" spans="1:15" ht="48.75" customHeight="1">
      <c r="A64" s="56" t="s">
        <v>105</v>
      </c>
      <c r="B64" s="60" t="s">
        <v>281</v>
      </c>
      <c r="C64" s="58"/>
      <c r="D64" s="15"/>
      <c r="E64" s="15">
        <f>E66</f>
        <v>1765.6</v>
      </c>
      <c r="F64" s="15">
        <f>F66</f>
        <v>0</v>
      </c>
      <c r="G64" s="20">
        <f t="shared" si="0"/>
        <v>-1765.6</v>
      </c>
      <c r="H64" s="20">
        <f t="shared" si="1"/>
        <v>0</v>
      </c>
    </row>
    <row r="65" spans="1:12" ht="30" customHeight="1">
      <c r="A65" s="42"/>
      <c r="B65" s="43" t="s">
        <v>86</v>
      </c>
      <c r="C65" s="50"/>
      <c r="D65" s="45"/>
      <c r="E65" s="45"/>
      <c r="F65" s="45"/>
      <c r="G65" s="46"/>
      <c r="H65" s="46"/>
    </row>
    <row r="66" spans="1:12" ht="27.75" customHeight="1">
      <c r="A66" s="56" t="s">
        <v>269</v>
      </c>
      <c r="B66" s="60" t="s">
        <v>93</v>
      </c>
      <c r="C66" s="58">
        <v>1030</v>
      </c>
      <c r="D66" s="15"/>
      <c r="E66" s="15">
        <f>E67+E68</f>
        <v>1765.6</v>
      </c>
      <c r="F66" s="15">
        <f>F67+F68</f>
        <v>0</v>
      </c>
      <c r="G66" s="46">
        <f t="shared" si="0"/>
        <v>-1765.6</v>
      </c>
      <c r="H66" s="46">
        <f t="shared" si="1"/>
        <v>0</v>
      </c>
    </row>
    <row r="67" spans="1:12" ht="27.75" customHeight="1">
      <c r="A67" s="42" t="s">
        <v>179</v>
      </c>
      <c r="B67" s="43" t="s">
        <v>2</v>
      </c>
      <c r="C67" s="50">
        <v>1032</v>
      </c>
      <c r="D67" s="45"/>
      <c r="E67" s="53">
        <v>1447.2</v>
      </c>
      <c r="F67" s="53"/>
      <c r="G67" s="46">
        <f t="shared" si="0"/>
        <v>-1447.2</v>
      </c>
      <c r="H67" s="46">
        <f t="shared" si="1"/>
        <v>0</v>
      </c>
    </row>
    <row r="68" spans="1:12" ht="27.75" customHeight="1">
      <c r="A68" s="42" t="s">
        <v>452</v>
      </c>
      <c r="B68" s="43" t="s">
        <v>3</v>
      </c>
      <c r="C68" s="50">
        <v>1033</v>
      </c>
      <c r="D68" s="45"/>
      <c r="E68" s="53">
        <v>318.39999999999998</v>
      </c>
      <c r="F68" s="53"/>
      <c r="G68" s="46">
        <f t="shared" si="0"/>
        <v>-318.39999999999998</v>
      </c>
      <c r="H68" s="46">
        <f t="shared" si="1"/>
        <v>0</v>
      </c>
    </row>
    <row r="69" spans="1:12" ht="27.75" customHeight="1">
      <c r="A69" s="56" t="s">
        <v>106</v>
      </c>
      <c r="B69" s="60" t="s">
        <v>268</v>
      </c>
      <c r="C69" s="58"/>
      <c r="D69" s="15"/>
      <c r="E69" s="15">
        <f>E71+E108+E125</f>
        <v>2959.9</v>
      </c>
      <c r="F69" s="15">
        <f>F71+F108+F125</f>
        <v>1513.5</v>
      </c>
      <c r="G69" s="20">
        <f t="shared" si="0"/>
        <v>-1446.4</v>
      </c>
      <c r="H69" s="20">
        <f t="shared" si="1"/>
        <v>51.133484239332404</v>
      </c>
      <c r="I69" s="39"/>
      <c r="J69" s="29"/>
      <c r="K69" s="29"/>
      <c r="L69" s="21"/>
    </row>
    <row r="70" spans="1:12" ht="30.75" customHeight="1">
      <c r="A70" s="42"/>
      <c r="B70" s="43" t="s">
        <v>86</v>
      </c>
      <c r="C70" s="50"/>
      <c r="D70" s="45"/>
      <c r="E70" s="45"/>
      <c r="F70" s="45"/>
      <c r="G70" s="46"/>
      <c r="H70" s="46"/>
      <c r="K70" s="29"/>
    </row>
    <row r="71" spans="1:12" ht="27.75" customHeight="1">
      <c r="A71" s="56" t="s">
        <v>283</v>
      </c>
      <c r="B71" s="60" t="s">
        <v>90</v>
      </c>
      <c r="C71" s="58">
        <v>1010</v>
      </c>
      <c r="D71" s="15"/>
      <c r="E71" s="15">
        <f>E72+E79+E80+E82</f>
        <v>2507.1999999999998</v>
      </c>
      <c r="F71" s="15">
        <f>F72+F79+F80+F82+F81</f>
        <v>1266.4000000000001</v>
      </c>
      <c r="G71" s="20">
        <f t="shared" si="0"/>
        <v>-1240.7999999999997</v>
      </c>
      <c r="H71" s="20">
        <f t="shared" si="1"/>
        <v>50.510529674537338</v>
      </c>
    </row>
    <row r="72" spans="1:12" ht="27.75" customHeight="1">
      <c r="A72" s="42" t="s">
        <v>184</v>
      </c>
      <c r="B72" s="43" t="s">
        <v>107</v>
      </c>
      <c r="C72" s="50">
        <v>1011</v>
      </c>
      <c r="D72" s="45"/>
      <c r="E72" s="45">
        <f>SUM(E73:E78)</f>
        <v>868</v>
      </c>
      <c r="F72" s="45">
        <f>SUM(F73:F78)</f>
        <v>205.79999999999998</v>
      </c>
      <c r="G72" s="46">
        <f t="shared" si="0"/>
        <v>-662.2</v>
      </c>
      <c r="H72" s="46">
        <f t="shared" si="1"/>
        <v>23.709677419354836</v>
      </c>
    </row>
    <row r="73" spans="1:12" ht="27.75" customHeight="1">
      <c r="A73" s="42"/>
      <c r="B73" s="18" t="s">
        <v>138</v>
      </c>
      <c r="C73" s="17"/>
      <c r="D73" s="19"/>
      <c r="E73" s="19">
        <v>220</v>
      </c>
      <c r="F73" s="19">
        <v>37.5</v>
      </c>
      <c r="G73" s="16">
        <f t="shared" si="0"/>
        <v>-182.5</v>
      </c>
      <c r="H73" s="46">
        <f t="shared" si="1"/>
        <v>17.045454545454543</v>
      </c>
    </row>
    <row r="74" spans="1:12" ht="27.75" customHeight="1">
      <c r="A74" s="42"/>
      <c r="B74" s="18" t="s">
        <v>139</v>
      </c>
      <c r="C74" s="17"/>
      <c r="D74" s="19"/>
      <c r="E74" s="19">
        <v>120</v>
      </c>
      <c r="F74" s="19">
        <v>6.6</v>
      </c>
      <c r="G74" s="16">
        <f t="shared" si="0"/>
        <v>-113.4</v>
      </c>
      <c r="H74" s="46">
        <f t="shared" si="1"/>
        <v>5.5</v>
      </c>
    </row>
    <row r="75" spans="1:12" ht="27.75" customHeight="1">
      <c r="A75" s="42"/>
      <c r="B75" s="18" t="s">
        <v>270</v>
      </c>
      <c r="C75" s="17"/>
      <c r="D75" s="19"/>
      <c r="E75" s="19">
        <v>160</v>
      </c>
      <c r="F75" s="19"/>
      <c r="G75" s="16">
        <f t="shared" ref="G75:G138" si="6">F75-E75</f>
        <v>-160</v>
      </c>
      <c r="H75" s="46">
        <f t="shared" ref="H75:H138" si="7">(F75/E75)*100</f>
        <v>0</v>
      </c>
    </row>
    <row r="76" spans="1:12" ht="27.75" customHeight="1">
      <c r="A76" s="42"/>
      <c r="B76" s="18" t="s">
        <v>271</v>
      </c>
      <c r="C76" s="17"/>
      <c r="D76" s="19"/>
      <c r="E76" s="19">
        <v>130</v>
      </c>
      <c r="F76" s="19">
        <v>13.9</v>
      </c>
      <c r="G76" s="16">
        <f t="shared" si="6"/>
        <v>-116.1</v>
      </c>
      <c r="H76" s="46">
        <f t="shared" si="7"/>
        <v>10.692307692307693</v>
      </c>
    </row>
    <row r="77" spans="1:12" ht="39" customHeight="1">
      <c r="A77" s="42"/>
      <c r="B77" s="18" t="s">
        <v>162</v>
      </c>
      <c r="C77" s="17"/>
      <c r="D77" s="19"/>
      <c r="E77" s="19">
        <v>210</v>
      </c>
      <c r="F77" s="19">
        <f>276.7-190.4</f>
        <v>86.299999999999983</v>
      </c>
      <c r="G77" s="16">
        <f t="shared" si="6"/>
        <v>-123.70000000000002</v>
      </c>
      <c r="H77" s="46">
        <f t="shared" si="7"/>
        <v>41.095238095238088</v>
      </c>
    </row>
    <row r="78" spans="1:12" ht="25.5" customHeight="1">
      <c r="A78" s="42"/>
      <c r="B78" s="198" t="s">
        <v>163</v>
      </c>
      <c r="C78" s="17"/>
      <c r="D78" s="19"/>
      <c r="E78" s="19">
        <v>28</v>
      </c>
      <c r="F78" s="19">
        <v>61.5</v>
      </c>
      <c r="G78" s="16">
        <f t="shared" si="6"/>
        <v>33.5</v>
      </c>
      <c r="H78" s="46">
        <f t="shared" si="7"/>
        <v>219.64285714285717</v>
      </c>
    </row>
    <row r="79" spans="1:12" ht="25.5" customHeight="1">
      <c r="A79" s="42" t="s">
        <v>284</v>
      </c>
      <c r="B79" s="61" t="s">
        <v>2</v>
      </c>
      <c r="C79" s="50">
        <v>1012</v>
      </c>
      <c r="D79" s="45"/>
      <c r="E79" s="45">
        <v>430.8</v>
      </c>
      <c r="F79" s="45">
        <v>330.5</v>
      </c>
      <c r="G79" s="46">
        <f t="shared" si="6"/>
        <v>-100.30000000000001</v>
      </c>
      <c r="H79" s="46">
        <f t="shared" si="7"/>
        <v>76.717734447539456</v>
      </c>
      <c r="K79" s="92"/>
    </row>
    <row r="80" spans="1:12" ht="25.5" customHeight="1">
      <c r="A80" s="42" t="s">
        <v>285</v>
      </c>
      <c r="B80" s="61" t="s">
        <v>3</v>
      </c>
      <c r="C80" s="50">
        <v>1013</v>
      </c>
      <c r="D80" s="45"/>
      <c r="E80" s="45">
        <v>110.4</v>
      </c>
      <c r="F80" s="45">
        <v>72.7</v>
      </c>
      <c r="G80" s="46">
        <f t="shared" si="6"/>
        <v>-37.700000000000003</v>
      </c>
      <c r="H80" s="46">
        <f t="shared" si="7"/>
        <v>65.851449275362313</v>
      </c>
    </row>
    <row r="81" spans="1:9" ht="25.5" customHeight="1">
      <c r="A81" s="42" t="s">
        <v>286</v>
      </c>
      <c r="B81" s="61" t="s">
        <v>4</v>
      </c>
      <c r="C81" s="50">
        <v>1014</v>
      </c>
      <c r="D81" s="45"/>
      <c r="E81" s="45"/>
      <c r="F81" s="45">
        <f>115+280.5+40.2-200</f>
        <v>235.7</v>
      </c>
      <c r="G81" s="46">
        <f t="shared" si="6"/>
        <v>235.7</v>
      </c>
      <c r="H81" s="177" t="e">
        <f t="shared" si="7"/>
        <v>#DIV/0!</v>
      </c>
      <c r="I81" s="21"/>
    </row>
    <row r="82" spans="1:9" ht="25.5" customHeight="1">
      <c r="A82" s="42" t="s">
        <v>314</v>
      </c>
      <c r="B82" s="62" t="s">
        <v>98</v>
      </c>
      <c r="C82" s="50">
        <v>1015</v>
      </c>
      <c r="D82" s="45"/>
      <c r="E82" s="45">
        <f>SUM(E83:E107)</f>
        <v>1098</v>
      </c>
      <c r="F82" s="45">
        <f>SUM(F83:F107)</f>
        <v>421.7000000000001</v>
      </c>
      <c r="G82" s="46">
        <f t="shared" si="6"/>
        <v>-676.3</v>
      </c>
      <c r="H82" s="46">
        <f t="shared" si="7"/>
        <v>38.406193078324236</v>
      </c>
      <c r="I82" s="21"/>
    </row>
    <row r="83" spans="1:9" ht="25.5" customHeight="1">
      <c r="A83" s="56"/>
      <c r="B83" s="22" t="s">
        <v>146</v>
      </c>
      <c r="C83" s="17"/>
      <c r="D83" s="19"/>
      <c r="E83" s="19">
        <v>25</v>
      </c>
      <c r="F83" s="19">
        <f>0.2</f>
        <v>0.2</v>
      </c>
      <c r="G83" s="16">
        <f t="shared" si="6"/>
        <v>-24.8</v>
      </c>
      <c r="H83" s="46">
        <f t="shared" si="7"/>
        <v>0.8</v>
      </c>
    </row>
    <row r="84" spans="1:9" ht="25.5" customHeight="1">
      <c r="A84" s="56"/>
      <c r="B84" s="22" t="s">
        <v>147</v>
      </c>
      <c r="C84" s="17"/>
      <c r="D84" s="19"/>
      <c r="E84" s="19">
        <v>25</v>
      </c>
      <c r="F84" s="19"/>
      <c r="G84" s="16">
        <f t="shared" si="6"/>
        <v>-25</v>
      </c>
      <c r="H84" s="46">
        <f t="shared" si="7"/>
        <v>0</v>
      </c>
    </row>
    <row r="85" spans="1:9" ht="25.5" customHeight="1">
      <c r="A85" s="56"/>
      <c r="B85" s="22" t="s">
        <v>150</v>
      </c>
      <c r="C85" s="17"/>
      <c r="D85" s="19"/>
      <c r="E85" s="19">
        <v>25</v>
      </c>
      <c r="F85" s="19"/>
      <c r="G85" s="16">
        <f t="shared" si="6"/>
        <v>-25</v>
      </c>
      <c r="H85" s="46">
        <f t="shared" si="7"/>
        <v>0</v>
      </c>
    </row>
    <row r="86" spans="1:9" ht="25.5" customHeight="1">
      <c r="A86" s="56"/>
      <c r="B86" s="22" t="s">
        <v>151</v>
      </c>
      <c r="C86" s="17"/>
      <c r="D86" s="19"/>
      <c r="E86" s="19">
        <v>120</v>
      </c>
      <c r="F86" s="19">
        <v>42.1</v>
      </c>
      <c r="G86" s="16">
        <f t="shared" si="6"/>
        <v>-77.900000000000006</v>
      </c>
      <c r="H86" s="46">
        <f t="shared" si="7"/>
        <v>35.083333333333336</v>
      </c>
    </row>
    <row r="87" spans="1:9" ht="25.5" customHeight="1">
      <c r="A87" s="56"/>
      <c r="B87" s="22" t="s">
        <v>272</v>
      </c>
      <c r="C87" s="17"/>
      <c r="D87" s="19"/>
      <c r="E87" s="19">
        <v>25.2</v>
      </c>
      <c r="F87" s="19">
        <v>23.1</v>
      </c>
      <c r="G87" s="16">
        <f t="shared" si="6"/>
        <v>-2.0999999999999979</v>
      </c>
      <c r="H87" s="46">
        <f t="shared" si="7"/>
        <v>91.666666666666671</v>
      </c>
    </row>
    <row r="88" spans="1:9" ht="25.5" customHeight="1">
      <c r="A88" s="56"/>
      <c r="B88" s="22" t="s">
        <v>165</v>
      </c>
      <c r="C88" s="17"/>
      <c r="D88" s="19"/>
      <c r="E88" s="19">
        <v>3.2</v>
      </c>
      <c r="F88" s="19">
        <v>0.8</v>
      </c>
      <c r="G88" s="16">
        <f t="shared" si="6"/>
        <v>-2.4000000000000004</v>
      </c>
      <c r="H88" s="46">
        <f t="shared" si="7"/>
        <v>25</v>
      </c>
    </row>
    <row r="89" spans="1:9" ht="25.5" customHeight="1">
      <c r="A89" s="56"/>
      <c r="B89" s="22" t="s">
        <v>166</v>
      </c>
      <c r="C89" s="17"/>
      <c r="D89" s="19"/>
      <c r="E89" s="19">
        <v>40</v>
      </c>
      <c r="F89" s="19">
        <v>35.299999999999997</v>
      </c>
      <c r="G89" s="16">
        <f t="shared" si="6"/>
        <v>-4.7000000000000028</v>
      </c>
      <c r="H89" s="46">
        <f t="shared" si="7"/>
        <v>88.25</v>
      </c>
    </row>
    <row r="90" spans="1:9" ht="25.5" customHeight="1">
      <c r="A90" s="56"/>
      <c r="B90" s="22" t="s">
        <v>153</v>
      </c>
      <c r="C90" s="17"/>
      <c r="D90" s="19"/>
      <c r="E90" s="19">
        <v>34.799999999999997</v>
      </c>
      <c r="F90" s="19">
        <f>24.7+9.3</f>
        <v>34</v>
      </c>
      <c r="G90" s="16">
        <f t="shared" si="6"/>
        <v>-0.79999999999999716</v>
      </c>
      <c r="H90" s="46">
        <f t="shared" si="7"/>
        <v>97.701149425287355</v>
      </c>
    </row>
    <row r="91" spans="1:9" ht="25.5" customHeight="1">
      <c r="A91" s="56"/>
      <c r="B91" s="22" t="s">
        <v>167</v>
      </c>
      <c r="C91" s="17"/>
      <c r="D91" s="19"/>
      <c r="E91" s="19">
        <v>150</v>
      </c>
      <c r="F91" s="19">
        <f>9+7.9</f>
        <v>16.899999999999999</v>
      </c>
      <c r="G91" s="16">
        <f t="shared" si="6"/>
        <v>-133.1</v>
      </c>
      <c r="H91" s="46">
        <f t="shared" si="7"/>
        <v>11.266666666666666</v>
      </c>
    </row>
    <row r="92" spans="1:9" ht="25.5" customHeight="1">
      <c r="A92" s="56"/>
      <c r="B92" s="22" t="s">
        <v>238</v>
      </c>
      <c r="C92" s="17"/>
      <c r="D92" s="19"/>
      <c r="E92" s="19">
        <v>15.2</v>
      </c>
      <c r="F92" s="19">
        <f>5.8</f>
        <v>5.8</v>
      </c>
      <c r="G92" s="16">
        <f t="shared" si="6"/>
        <v>-9.3999999999999986</v>
      </c>
      <c r="H92" s="46">
        <f t="shared" si="7"/>
        <v>38.15789473684211</v>
      </c>
    </row>
    <row r="93" spans="1:9" ht="25.5" customHeight="1">
      <c r="A93" s="56"/>
      <c r="B93" s="22" t="s">
        <v>152</v>
      </c>
      <c r="C93" s="17"/>
      <c r="D93" s="19"/>
      <c r="E93" s="19">
        <v>30</v>
      </c>
      <c r="F93" s="19"/>
      <c r="G93" s="16">
        <f t="shared" si="6"/>
        <v>-30</v>
      </c>
      <c r="H93" s="46">
        <f t="shared" si="7"/>
        <v>0</v>
      </c>
    </row>
    <row r="94" spans="1:9" ht="25.5" customHeight="1">
      <c r="A94" s="56"/>
      <c r="B94" s="63" t="s">
        <v>273</v>
      </c>
      <c r="C94" s="17"/>
      <c r="D94" s="19"/>
      <c r="E94" s="19">
        <v>150</v>
      </c>
      <c r="F94" s="19">
        <v>97.7</v>
      </c>
      <c r="G94" s="16">
        <f t="shared" si="6"/>
        <v>-52.3</v>
      </c>
      <c r="H94" s="46">
        <f t="shared" si="7"/>
        <v>65.133333333333326</v>
      </c>
    </row>
    <row r="95" spans="1:9" ht="25.5" customHeight="1">
      <c r="A95" s="56"/>
      <c r="B95" s="198" t="s">
        <v>154</v>
      </c>
      <c r="C95" s="17"/>
      <c r="D95" s="19"/>
      <c r="E95" s="19">
        <v>30.4</v>
      </c>
      <c r="F95" s="19"/>
      <c r="G95" s="16">
        <f t="shared" si="6"/>
        <v>-30.4</v>
      </c>
      <c r="H95" s="46">
        <f t="shared" si="7"/>
        <v>0</v>
      </c>
    </row>
    <row r="96" spans="1:9" ht="27.75" customHeight="1">
      <c r="A96" s="56"/>
      <c r="B96" s="18" t="s">
        <v>169</v>
      </c>
      <c r="C96" s="17"/>
      <c r="D96" s="19"/>
      <c r="E96" s="19">
        <v>35</v>
      </c>
      <c r="F96" s="19">
        <v>3.6</v>
      </c>
      <c r="G96" s="16">
        <f t="shared" si="6"/>
        <v>-31.4</v>
      </c>
      <c r="H96" s="46">
        <f t="shared" si="7"/>
        <v>10.285714285714285</v>
      </c>
    </row>
    <row r="97" spans="1:8" ht="27.75" customHeight="1">
      <c r="A97" s="56"/>
      <c r="B97" s="18" t="s">
        <v>170</v>
      </c>
      <c r="C97" s="17"/>
      <c r="D97" s="19"/>
      <c r="E97" s="19">
        <v>9</v>
      </c>
      <c r="F97" s="19"/>
      <c r="G97" s="16">
        <f t="shared" si="6"/>
        <v>-9</v>
      </c>
      <c r="H97" s="46">
        <f t="shared" si="7"/>
        <v>0</v>
      </c>
    </row>
    <row r="98" spans="1:8" ht="27.75" customHeight="1">
      <c r="A98" s="56"/>
      <c r="B98" s="18" t="s">
        <v>277</v>
      </c>
      <c r="C98" s="17"/>
      <c r="D98" s="19"/>
      <c r="E98" s="19"/>
      <c r="F98" s="19">
        <f>1.5</f>
        <v>1.5</v>
      </c>
      <c r="G98" s="16">
        <f t="shared" si="6"/>
        <v>1.5</v>
      </c>
      <c r="H98" s="177" t="e">
        <f t="shared" si="7"/>
        <v>#DIV/0!</v>
      </c>
    </row>
    <row r="99" spans="1:8" ht="27.75" customHeight="1">
      <c r="A99" s="56"/>
      <c r="B99" s="18" t="s">
        <v>351</v>
      </c>
      <c r="C99" s="17"/>
      <c r="D99" s="19"/>
      <c r="E99" s="19"/>
      <c r="F99" s="19">
        <f>13.6</f>
        <v>13.6</v>
      </c>
      <c r="G99" s="16">
        <f t="shared" si="6"/>
        <v>13.6</v>
      </c>
      <c r="H99" s="177" t="e">
        <f t="shared" si="7"/>
        <v>#DIV/0!</v>
      </c>
    </row>
    <row r="100" spans="1:8" ht="27.75" customHeight="1">
      <c r="A100" s="56"/>
      <c r="B100" s="18" t="s">
        <v>240</v>
      </c>
      <c r="C100" s="17"/>
      <c r="D100" s="19"/>
      <c r="E100" s="19">
        <v>3</v>
      </c>
      <c r="F100" s="19">
        <v>5.8</v>
      </c>
      <c r="G100" s="16">
        <f t="shared" si="6"/>
        <v>2.8</v>
      </c>
      <c r="H100" s="46">
        <f t="shared" si="7"/>
        <v>193.33333333333334</v>
      </c>
    </row>
    <row r="101" spans="1:8" ht="27.75" customHeight="1">
      <c r="A101" s="56"/>
      <c r="B101" s="198" t="s">
        <v>443</v>
      </c>
      <c r="C101" s="17"/>
      <c r="D101" s="19"/>
      <c r="E101" s="19">
        <v>1.5</v>
      </c>
      <c r="F101" s="19"/>
      <c r="G101" s="16">
        <f t="shared" si="6"/>
        <v>-1.5</v>
      </c>
      <c r="H101" s="46">
        <f t="shared" si="7"/>
        <v>0</v>
      </c>
    </row>
    <row r="102" spans="1:8" ht="27.75" customHeight="1">
      <c r="A102" s="56"/>
      <c r="B102" s="198" t="s">
        <v>239</v>
      </c>
      <c r="C102" s="17"/>
      <c r="D102" s="19"/>
      <c r="E102" s="19"/>
      <c r="F102" s="19">
        <v>2</v>
      </c>
      <c r="G102" s="16">
        <f t="shared" si="6"/>
        <v>2</v>
      </c>
      <c r="H102" s="177" t="e">
        <f t="shared" si="7"/>
        <v>#DIV/0!</v>
      </c>
    </row>
    <row r="103" spans="1:8" ht="27.75" customHeight="1">
      <c r="A103" s="56"/>
      <c r="B103" s="63" t="s">
        <v>172</v>
      </c>
      <c r="C103" s="17"/>
      <c r="D103" s="19"/>
      <c r="E103" s="19">
        <v>216.6</v>
      </c>
      <c r="F103" s="19">
        <v>30.2</v>
      </c>
      <c r="G103" s="16">
        <f t="shared" si="6"/>
        <v>-186.4</v>
      </c>
      <c r="H103" s="46">
        <f t="shared" si="7"/>
        <v>13.942751615881811</v>
      </c>
    </row>
    <row r="104" spans="1:8" ht="27.75" customHeight="1">
      <c r="A104" s="56"/>
      <c r="B104" s="64" t="s">
        <v>173</v>
      </c>
      <c r="C104" s="17"/>
      <c r="D104" s="19"/>
      <c r="E104" s="19">
        <v>16.899999999999999</v>
      </c>
      <c r="F104" s="19">
        <v>41.6</v>
      </c>
      <c r="G104" s="16">
        <f t="shared" si="6"/>
        <v>24.700000000000003</v>
      </c>
      <c r="H104" s="46">
        <f t="shared" si="7"/>
        <v>246.15384615384616</v>
      </c>
    </row>
    <row r="105" spans="1:8" ht="27.75" customHeight="1">
      <c r="A105" s="56"/>
      <c r="B105" s="27" t="s">
        <v>174</v>
      </c>
      <c r="C105" s="17"/>
      <c r="D105" s="19"/>
      <c r="E105" s="19">
        <v>133.19999999999999</v>
      </c>
      <c r="F105" s="19">
        <v>44.6</v>
      </c>
      <c r="G105" s="16">
        <f t="shared" si="6"/>
        <v>-88.6</v>
      </c>
      <c r="H105" s="46">
        <f t="shared" si="7"/>
        <v>33.483483483483489</v>
      </c>
    </row>
    <row r="106" spans="1:8" ht="27.75" customHeight="1">
      <c r="A106" s="56"/>
      <c r="B106" s="64" t="s">
        <v>175</v>
      </c>
      <c r="C106" s="50"/>
      <c r="D106" s="45"/>
      <c r="E106" s="19">
        <v>9</v>
      </c>
      <c r="F106" s="45"/>
      <c r="G106" s="46">
        <f t="shared" si="6"/>
        <v>-9</v>
      </c>
      <c r="H106" s="46">
        <f t="shared" si="7"/>
        <v>0</v>
      </c>
    </row>
    <row r="107" spans="1:8" ht="27.75" customHeight="1">
      <c r="A107" s="56"/>
      <c r="B107" s="64" t="s">
        <v>447</v>
      </c>
      <c r="C107" s="50"/>
      <c r="D107" s="45"/>
      <c r="E107" s="19"/>
      <c r="F107" s="19">
        <f>7.6+15.3</f>
        <v>22.9</v>
      </c>
      <c r="G107" s="46">
        <f t="shared" si="6"/>
        <v>22.9</v>
      </c>
      <c r="H107" s="177" t="e">
        <f t="shared" si="7"/>
        <v>#DIV/0!</v>
      </c>
    </row>
    <row r="108" spans="1:8" ht="27.75" customHeight="1">
      <c r="A108" s="56" t="s">
        <v>287</v>
      </c>
      <c r="B108" s="65" t="s">
        <v>92</v>
      </c>
      <c r="C108" s="66">
        <v>1020</v>
      </c>
      <c r="D108" s="45"/>
      <c r="E108" s="45">
        <f>E109+E113</f>
        <v>340.4</v>
      </c>
      <c r="F108" s="45">
        <f>F109+F113</f>
        <v>233.1</v>
      </c>
      <c r="G108" s="46">
        <f t="shared" si="6"/>
        <v>-107.29999999999998</v>
      </c>
      <c r="H108" s="46">
        <f t="shared" si="7"/>
        <v>68.478260869565219</v>
      </c>
    </row>
    <row r="109" spans="1:8" ht="27.75" customHeight="1">
      <c r="A109" s="42" t="s">
        <v>288</v>
      </c>
      <c r="B109" s="67" t="s">
        <v>107</v>
      </c>
      <c r="C109" s="44">
        <v>1021</v>
      </c>
      <c r="D109" s="45"/>
      <c r="E109" s="45">
        <f>SUM(E110:E112)</f>
        <v>70</v>
      </c>
      <c r="F109" s="45">
        <f>SUM(F110:F112)</f>
        <v>41.6</v>
      </c>
      <c r="G109" s="46">
        <f t="shared" si="6"/>
        <v>-28.4</v>
      </c>
      <c r="H109" s="46">
        <f t="shared" si="7"/>
        <v>59.428571428571431</v>
      </c>
    </row>
    <row r="110" spans="1:8" ht="27.75" customHeight="1">
      <c r="A110" s="42"/>
      <c r="B110" s="63" t="s">
        <v>180</v>
      </c>
      <c r="C110" s="44"/>
      <c r="D110" s="45"/>
      <c r="E110" s="45"/>
      <c r="F110" s="19">
        <v>1.9</v>
      </c>
      <c r="G110" s="46">
        <f t="shared" si="6"/>
        <v>1.9</v>
      </c>
      <c r="H110" s="177" t="e">
        <f t="shared" si="7"/>
        <v>#DIV/0!</v>
      </c>
    </row>
    <row r="111" spans="1:8" ht="40.5" customHeight="1">
      <c r="A111" s="42"/>
      <c r="B111" s="18" t="s">
        <v>162</v>
      </c>
      <c r="C111" s="48"/>
      <c r="D111" s="45"/>
      <c r="E111" s="19">
        <v>40</v>
      </c>
      <c r="F111" s="19">
        <v>7.7</v>
      </c>
      <c r="G111" s="46">
        <f t="shared" si="6"/>
        <v>-32.299999999999997</v>
      </c>
      <c r="H111" s="46">
        <f t="shared" si="7"/>
        <v>19.25</v>
      </c>
    </row>
    <row r="112" spans="1:8" ht="27.75" customHeight="1">
      <c r="A112" s="42"/>
      <c r="B112" s="22" t="s">
        <v>163</v>
      </c>
      <c r="C112" s="48"/>
      <c r="D112" s="45"/>
      <c r="E112" s="19">
        <v>30</v>
      </c>
      <c r="F112" s="19">
        <v>32</v>
      </c>
      <c r="G112" s="46">
        <f t="shared" si="6"/>
        <v>2</v>
      </c>
      <c r="H112" s="46">
        <f t="shared" si="7"/>
        <v>106.66666666666667</v>
      </c>
    </row>
    <row r="113" spans="1:8" ht="27.75" customHeight="1">
      <c r="A113" s="42" t="s">
        <v>289</v>
      </c>
      <c r="B113" s="62" t="s">
        <v>177</v>
      </c>
      <c r="C113" s="44">
        <v>1025</v>
      </c>
      <c r="D113" s="45"/>
      <c r="E113" s="45">
        <f>SUM(E114:E124)</f>
        <v>270.39999999999998</v>
      </c>
      <c r="F113" s="45">
        <f>SUM(F114:F124)</f>
        <v>191.5</v>
      </c>
      <c r="G113" s="46">
        <f t="shared" si="6"/>
        <v>-78.899999999999977</v>
      </c>
      <c r="H113" s="46">
        <f t="shared" si="7"/>
        <v>70.821005917159781</v>
      </c>
    </row>
    <row r="114" spans="1:8" ht="27.75" customHeight="1">
      <c r="A114" s="56"/>
      <c r="B114" s="26" t="s">
        <v>154</v>
      </c>
      <c r="C114" s="48"/>
      <c r="D114" s="45"/>
      <c r="E114" s="19">
        <v>7.6</v>
      </c>
      <c r="F114" s="19">
        <v>105.2</v>
      </c>
      <c r="G114" s="46">
        <f t="shared" si="6"/>
        <v>97.600000000000009</v>
      </c>
      <c r="H114" s="46">
        <f t="shared" si="7"/>
        <v>1384.2105263157896</v>
      </c>
    </row>
    <row r="115" spans="1:8" ht="27.75" customHeight="1">
      <c r="A115" s="56"/>
      <c r="B115" s="22" t="s">
        <v>146</v>
      </c>
      <c r="C115" s="48"/>
      <c r="D115" s="45"/>
      <c r="E115" s="19"/>
      <c r="F115" s="19">
        <f>4.2</f>
        <v>4.2</v>
      </c>
      <c r="G115" s="46">
        <f t="shared" si="6"/>
        <v>4.2</v>
      </c>
      <c r="H115" s="177" t="e">
        <f t="shared" si="7"/>
        <v>#DIV/0!</v>
      </c>
    </row>
    <row r="116" spans="1:8" ht="27.75" customHeight="1">
      <c r="A116" s="56"/>
      <c r="B116" s="22" t="s">
        <v>167</v>
      </c>
      <c r="C116" s="48"/>
      <c r="D116" s="45"/>
      <c r="E116" s="19">
        <v>30</v>
      </c>
      <c r="F116" s="19">
        <v>7</v>
      </c>
      <c r="G116" s="46">
        <f t="shared" si="6"/>
        <v>-23</v>
      </c>
      <c r="H116" s="46">
        <f t="shared" si="7"/>
        <v>23.333333333333332</v>
      </c>
    </row>
    <row r="117" spans="1:8" ht="27.75" customHeight="1">
      <c r="A117" s="56"/>
      <c r="B117" s="22" t="s">
        <v>159</v>
      </c>
      <c r="C117" s="48"/>
      <c r="D117" s="45"/>
      <c r="E117" s="19">
        <v>4.8</v>
      </c>
      <c r="F117" s="19">
        <v>33.1</v>
      </c>
      <c r="G117" s="46">
        <f t="shared" si="6"/>
        <v>28.3</v>
      </c>
      <c r="H117" s="46">
        <f t="shared" si="7"/>
        <v>689.58333333333337</v>
      </c>
    </row>
    <row r="118" spans="1:8" ht="27.75" customHeight="1">
      <c r="A118" s="56"/>
      <c r="B118" s="22" t="s">
        <v>327</v>
      </c>
      <c r="C118" s="48"/>
      <c r="D118" s="45"/>
      <c r="E118" s="19">
        <v>25</v>
      </c>
      <c r="F118" s="19"/>
      <c r="G118" s="46">
        <f t="shared" si="6"/>
        <v>-25</v>
      </c>
      <c r="H118" s="46">
        <f t="shared" si="7"/>
        <v>0</v>
      </c>
    </row>
    <row r="119" spans="1:8" ht="27.75" customHeight="1">
      <c r="A119" s="56"/>
      <c r="B119" s="18" t="s">
        <v>169</v>
      </c>
      <c r="C119" s="48"/>
      <c r="D119" s="45"/>
      <c r="E119" s="19"/>
      <c r="F119" s="19">
        <v>16</v>
      </c>
      <c r="G119" s="46">
        <f t="shared" si="6"/>
        <v>16</v>
      </c>
      <c r="H119" s="177" t="e">
        <f t="shared" si="7"/>
        <v>#DIV/0!</v>
      </c>
    </row>
    <row r="120" spans="1:8" ht="27.75" customHeight="1">
      <c r="A120" s="56"/>
      <c r="B120" s="18" t="s">
        <v>173</v>
      </c>
      <c r="C120" s="48"/>
      <c r="D120" s="45"/>
      <c r="E120" s="19"/>
      <c r="F120" s="19">
        <v>0.2</v>
      </c>
      <c r="G120" s="46">
        <f t="shared" si="6"/>
        <v>0.2</v>
      </c>
      <c r="H120" s="177" t="e">
        <f t="shared" si="7"/>
        <v>#DIV/0!</v>
      </c>
    </row>
    <row r="121" spans="1:8" ht="27.75" customHeight="1">
      <c r="A121" s="56"/>
      <c r="B121" s="18" t="s">
        <v>444</v>
      </c>
      <c r="C121" s="48"/>
      <c r="D121" s="45"/>
      <c r="E121" s="19"/>
      <c r="F121" s="19">
        <f>12.8</f>
        <v>12.8</v>
      </c>
      <c r="G121" s="46">
        <f t="shared" si="6"/>
        <v>12.8</v>
      </c>
      <c r="H121" s="177" t="e">
        <f t="shared" si="7"/>
        <v>#DIV/0!</v>
      </c>
    </row>
    <row r="122" spans="1:8" ht="27.75" customHeight="1">
      <c r="A122" s="56"/>
      <c r="B122" s="22" t="s">
        <v>274</v>
      </c>
      <c r="C122" s="48"/>
      <c r="D122" s="45"/>
      <c r="E122" s="19">
        <v>200</v>
      </c>
      <c r="F122" s="45"/>
      <c r="G122" s="46">
        <f t="shared" si="6"/>
        <v>-200</v>
      </c>
      <c r="H122" s="46">
        <f t="shared" si="7"/>
        <v>0</v>
      </c>
    </row>
    <row r="123" spans="1:8" ht="27.75" customHeight="1">
      <c r="A123" s="56"/>
      <c r="B123" s="22" t="s">
        <v>278</v>
      </c>
      <c r="C123" s="48"/>
      <c r="D123" s="45"/>
      <c r="E123" s="19"/>
      <c r="F123" s="19">
        <f>2.3+7.7</f>
        <v>10</v>
      </c>
      <c r="G123" s="46">
        <f t="shared" si="6"/>
        <v>10</v>
      </c>
      <c r="H123" s="177" t="e">
        <f t="shared" si="7"/>
        <v>#DIV/0!</v>
      </c>
    </row>
    <row r="124" spans="1:8" ht="27.75" customHeight="1">
      <c r="A124" s="56"/>
      <c r="B124" s="22" t="s">
        <v>275</v>
      </c>
      <c r="C124" s="48"/>
      <c r="D124" s="45"/>
      <c r="E124" s="19">
        <v>3</v>
      </c>
      <c r="F124" s="19">
        <v>3</v>
      </c>
      <c r="G124" s="46">
        <f t="shared" si="6"/>
        <v>0</v>
      </c>
      <c r="H124" s="46">
        <f t="shared" si="7"/>
        <v>100</v>
      </c>
    </row>
    <row r="125" spans="1:8" ht="27.75" customHeight="1">
      <c r="A125" s="56" t="s">
        <v>290</v>
      </c>
      <c r="B125" s="68" t="s">
        <v>93</v>
      </c>
      <c r="C125" s="66">
        <v>1030</v>
      </c>
      <c r="D125" s="45"/>
      <c r="E125" s="45">
        <f>E126</f>
        <v>112.3</v>
      </c>
      <c r="F125" s="45">
        <f>F126</f>
        <v>14</v>
      </c>
      <c r="G125" s="46">
        <f t="shared" si="6"/>
        <v>-98.3</v>
      </c>
      <c r="H125" s="46">
        <f t="shared" si="7"/>
        <v>12.466607301869992</v>
      </c>
    </row>
    <row r="126" spans="1:8" ht="27.75" customHeight="1">
      <c r="A126" s="42" t="s">
        <v>291</v>
      </c>
      <c r="B126" s="83" t="s">
        <v>93</v>
      </c>
      <c r="C126" s="50">
        <v>1035</v>
      </c>
      <c r="D126" s="45"/>
      <c r="E126" s="45">
        <f>SUM(E127:E130)</f>
        <v>112.3</v>
      </c>
      <c r="F126" s="45">
        <f>SUM(F127:F130)</f>
        <v>14</v>
      </c>
      <c r="G126" s="46">
        <f t="shared" si="6"/>
        <v>-98.3</v>
      </c>
      <c r="H126" s="46">
        <f t="shared" si="7"/>
        <v>12.466607301869992</v>
      </c>
    </row>
    <row r="127" spans="1:8" ht="27.75" customHeight="1">
      <c r="A127" s="56"/>
      <c r="B127" s="70" t="s">
        <v>186</v>
      </c>
      <c r="C127" s="48"/>
      <c r="D127" s="45"/>
      <c r="E127" s="19">
        <v>100</v>
      </c>
      <c r="F127" s="19">
        <v>0</v>
      </c>
      <c r="G127" s="46">
        <f t="shared" si="6"/>
        <v>-100</v>
      </c>
      <c r="H127" s="46">
        <f t="shared" si="7"/>
        <v>0</v>
      </c>
    </row>
    <row r="128" spans="1:8" ht="27.75" customHeight="1">
      <c r="A128" s="56"/>
      <c r="B128" s="70" t="s">
        <v>328</v>
      </c>
      <c r="C128" s="48"/>
      <c r="D128" s="45"/>
      <c r="E128" s="19">
        <v>0.3</v>
      </c>
      <c r="F128" s="19">
        <v>1.9</v>
      </c>
      <c r="G128" s="46">
        <f t="shared" si="6"/>
        <v>1.5999999999999999</v>
      </c>
      <c r="H128" s="46">
        <f t="shared" si="7"/>
        <v>633.33333333333326</v>
      </c>
    </row>
    <row r="129" spans="1:9" ht="27.75" customHeight="1">
      <c r="A129" s="56"/>
      <c r="B129" s="70" t="s">
        <v>279</v>
      </c>
      <c r="C129" s="48"/>
      <c r="D129" s="45"/>
      <c r="E129" s="19"/>
      <c r="F129" s="19">
        <f>11.9+0.2</f>
        <v>12.1</v>
      </c>
      <c r="G129" s="46">
        <f t="shared" si="6"/>
        <v>12.1</v>
      </c>
      <c r="H129" s="177" t="e">
        <f t="shared" si="7"/>
        <v>#DIV/0!</v>
      </c>
    </row>
    <row r="130" spans="1:9" ht="27.75" customHeight="1">
      <c r="A130" s="56"/>
      <c r="B130" s="70" t="s">
        <v>276</v>
      </c>
      <c r="C130" s="48"/>
      <c r="D130" s="45"/>
      <c r="E130" s="19">
        <v>12</v>
      </c>
      <c r="F130" s="19"/>
      <c r="G130" s="46">
        <f t="shared" si="6"/>
        <v>-12</v>
      </c>
      <c r="H130" s="46">
        <f t="shared" si="7"/>
        <v>0</v>
      </c>
    </row>
    <row r="131" spans="1:9" ht="41.25" customHeight="1">
      <c r="A131" s="56" t="s">
        <v>232</v>
      </c>
      <c r="B131" s="60" t="s">
        <v>254</v>
      </c>
      <c r="C131" s="58"/>
      <c r="D131" s="15">
        <f>D133</f>
        <v>366.8</v>
      </c>
      <c r="E131" s="15">
        <f>E133</f>
        <v>0</v>
      </c>
      <c r="F131" s="15">
        <f>F133</f>
        <v>190.4</v>
      </c>
      <c r="G131" s="20">
        <f t="shared" si="6"/>
        <v>190.4</v>
      </c>
      <c r="H131" s="178" t="e">
        <f t="shared" si="7"/>
        <v>#DIV/0!</v>
      </c>
      <c r="I131" s="21"/>
    </row>
    <row r="132" spans="1:9" ht="29.25" customHeight="1">
      <c r="A132" s="42"/>
      <c r="B132" s="71" t="s">
        <v>86</v>
      </c>
      <c r="C132" s="50"/>
      <c r="D132" s="45"/>
      <c r="E132" s="45"/>
      <c r="F132" s="45"/>
      <c r="G132" s="46"/>
      <c r="H132" s="177"/>
    </row>
    <row r="133" spans="1:9" ht="27" customHeight="1">
      <c r="A133" s="56" t="s">
        <v>248</v>
      </c>
      <c r="B133" s="60" t="s">
        <v>90</v>
      </c>
      <c r="C133" s="58">
        <v>1010</v>
      </c>
      <c r="D133" s="15">
        <f>D134+D140</f>
        <v>366.8</v>
      </c>
      <c r="E133" s="15">
        <f>E134+E140</f>
        <v>0</v>
      </c>
      <c r="F133" s="15">
        <f>F134+F140</f>
        <v>190.4</v>
      </c>
      <c r="G133" s="20">
        <f t="shared" si="6"/>
        <v>190.4</v>
      </c>
      <c r="H133" s="178" t="e">
        <f t="shared" si="7"/>
        <v>#DIV/0!</v>
      </c>
    </row>
    <row r="134" spans="1:9" ht="25.5" customHeight="1">
      <c r="A134" s="42" t="s">
        <v>249</v>
      </c>
      <c r="B134" s="43" t="s">
        <v>107</v>
      </c>
      <c r="C134" s="50">
        <v>1011</v>
      </c>
      <c r="D134" s="45">
        <f>SUM(D135:D139)</f>
        <v>321.60000000000002</v>
      </c>
      <c r="E134" s="45">
        <f>SUM(E135:E139)</f>
        <v>0</v>
      </c>
      <c r="F134" s="45">
        <f>SUM(F135:F139)</f>
        <v>190.4</v>
      </c>
      <c r="G134" s="46">
        <f t="shared" si="6"/>
        <v>190.4</v>
      </c>
      <c r="H134" s="177" t="e">
        <f t="shared" si="7"/>
        <v>#DIV/0!</v>
      </c>
    </row>
    <row r="135" spans="1:9" ht="23.25" customHeight="1">
      <c r="A135" s="42"/>
      <c r="B135" s="18" t="s">
        <v>138</v>
      </c>
      <c r="C135" s="50"/>
      <c r="D135" s="19">
        <v>124.8</v>
      </c>
      <c r="E135" s="45"/>
      <c r="F135" s="19"/>
      <c r="G135" s="46">
        <f t="shared" si="6"/>
        <v>0</v>
      </c>
      <c r="H135" s="177" t="e">
        <f t="shared" si="7"/>
        <v>#DIV/0!</v>
      </c>
    </row>
    <row r="136" spans="1:9" ht="23.25" customHeight="1">
      <c r="A136" s="42"/>
      <c r="B136" s="18" t="s">
        <v>139</v>
      </c>
      <c r="C136" s="50"/>
      <c r="D136" s="19">
        <v>20.7</v>
      </c>
      <c r="E136" s="45"/>
      <c r="F136" s="19"/>
      <c r="G136" s="46">
        <f t="shared" si="6"/>
        <v>0</v>
      </c>
      <c r="H136" s="177" t="e">
        <f t="shared" si="7"/>
        <v>#DIV/0!</v>
      </c>
    </row>
    <row r="137" spans="1:9" ht="23.25" customHeight="1">
      <c r="A137" s="42"/>
      <c r="B137" s="18" t="s">
        <v>237</v>
      </c>
      <c r="C137" s="50"/>
      <c r="D137" s="19">
        <v>19.8</v>
      </c>
      <c r="E137" s="45"/>
      <c r="F137" s="19"/>
      <c r="G137" s="46">
        <f t="shared" si="6"/>
        <v>0</v>
      </c>
      <c r="H137" s="177" t="e">
        <f t="shared" si="7"/>
        <v>#DIV/0!</v>
      </c>
    </row>
    <row r="138" spans="1:9" ht="39.75" customHeight="1">
      <c r="A138" s="42"/>
      <c r="B138" s="18" t="s">
        <v>162</v>
      </c>
      <c r="C138" s="50"/>
      <c r="D138" s="19">
        <v>142.80000000000001</v>
      </c>
      <c r="E138" s="45"/>
      <c r="F138" s="19">
        <v>190.4</v>
      </c>
      <c r="G138" s="46">
        <f t="shared" si="6"/>
        <v>190.4</v>
      </c>
      <c r="H138" s="177" t="e">
        <f t="shared" si="7"/>
        <v>#DIV/0!</v>
      </c>
    </row>
    <row r="139" spans="1:9" ht="28.5" customHeight="1">
      <c r="A139" s="42"/>
      <c r="B139" s="18" t="s">
        <v>163</v>
      </c>
      <c r="C139" s="50"/>
      <c r="D139" s="19">
        <v>13.5</v>
      </c>
      <c r="E139" s="45"/>
      <c r="F139" s="19"/>
      <c r="G139" s="46">
        <f t="shared" ref="G139:G202" si="8">F139-E139</f>
        <v>0</v>
      </c>
      <c r="H139" s="177" t="e">
        <f t="shared" ref="H139:H202" si="9">(F139/E139)*100</f>
        <v>#DIV/0!</v>
      </c>
    </row>
    <row r="140" spans="1:9" ht="23.25" customHeight="1">
      <c r="A140" s="42" t="s">
        <v>292</v>
      </c>
      <c r="B140" s="72" t="s">
        <v>98</v>
      </c>
      <c r="C140" s="73">
        <v>1015</v>
      </c>
      <c r="D140" s="45">
        <f>SUM(D141:D142)</f>
        <v>45.2</v>
      </c>
      <c r="E140" s="45">
        <f>SUM(E141:E142)</f>
        <v>0</v>
      </c>
      <c r="F140" s="45">
        <f>SUM(F141:F142)</f>
        <v>0</v>
      </c>
      <c r="G140" s="46">
        <f t="shared" si="8"/>
        <v>0</v>
      </c>
      <c r="H140" s="177" t="e">
        <f t="shared" si="9"/>
        <v>#DIV/0!</v>
      </c>
    </row>
    <row r="141" spans="1:9" ht="23.25" customHeight="1">
      <c r="A141" s="42"/>
      <c r="B141" s="18" t="s">
        <v>151</v>
      </c>
      <c r="C141" s="17"/>
      <c r="D141" s="19">
        <v>39.1</v>
      </c>
      <c r="E141" s="19"/>
      <c r="F141" s="19"/>
      <c r="G141" s="46">
        <f t="shared" si="8"/>
        <v>0</v>
      </c>
      <c r="H141" s="177" t="e">
        <f t="shared" si="9"/>
        <v>#DIV/0!</v>
      </c>
    </row>
    <row r="142" spans="1:9" ht="23.25" customHeight="1">
      <c r="A142" s="42"/>
      <c r="B142" s="18" t="s">
        <v>169</v>
      </c>
      <c r="C142" s="17"/>
      <c r="D142" s="19">
        <v>6.1</v>
      </c>
      <c r="E142" s="19"/>
      <c r="F142" s="19"/>
      <c r="G142" s="46">
        <f t="shared" si="8"/>
        <v>0</v>
      </c>
      <c r="H142" s="177" t="e">
        <f t="shared" si="9"/>
        <v>#DIV/0!</v>
      </c>
    </row>
    <row r="143" spans="1:9" ht="44.25" customHeight="1">
      <c r="A143" s="189" t="s">
        <v>250</v>
      </c>
      <c r="B143" s="60" t="s">
        <v>242</v>
      </c>
      <c r="C143" s="191"/>
      <c r="D143" s="15">
        <f>D145+D172+D181</f>
        <v>742</v>
      </c>
      <c r="E143" s="15">
        <f>E145+E172+E181</f>
        <v>0</v>
      </c>
      <c r="F143" s="15">
        <f>F145+F172+F181</f>
        <v>0</v>
      </c>
      <c r="G143" s="20">
        <f t="shared" si="8"/>
        <v>0</v>
      </c>
      <c r="H143" s="178" t="e">
        <f t="shared" si="9"/>
        <v>#DIV/0!</v>
      </c>
    </row>
    <row r="144" spans="1:9" ht="27" customHeight="1">
      <c r="A144" s="4"/>
      <c r="B144" s="40" t="s">
        <v>86</v>
      </c>
      <c r="C144" s="12"/>
      <c r="D144" s="19"/>
      <c r="E144" s="19"/>
      <c r="F144" s="19"/>
      <c r="G144" s="20"/>
      <c r="H144" s="178"/>
    </row>
    <row r="145" spans="1:15" ht="26.25" customHeight="1">
      <c r="A145" s="41" t="s">
        <v>293</v>
      </c>
      <c r="B145" s="190" t="s">
        <v>90</v>
      </c>
      <c r="C145" s="191">
        <v>1010</v>
      </c>
      <c r="D145" s="15">
        <f>D152+D153+D154+D155+D146</f>
        <v>659.1</v>
      </c>
      <c r="E145" s="15">
        <f>E152+E153+E154+E155</f>
        <v>0</v>
      </c>
      <c r="F145" s="15">
        <f>F152+F153+F154+F155</f>
        <v>0</v>
      </c>
      <c r="G145" s="20">
        <f t="shared" si="8"/>
        <v>0</v>
      </c>
      <c r="H145" s="178" t="e">
        <f t="shared" si="9"/>
        <v>#DIV/0!</v>
      </c>
    </row>
    <row r="146" spans="1:15" s="93" customFormat="1" ht="26.25" customHeight="1">
      <c r="A146" s="76" t="s">
        <v>294</v>
      </c>
      <c r="B146" s="77" t="s">
        <v>107</v>
      </c>
      <c r="C146" s="73">
        <v>1011</v>
      </c>
      <c r="D146" s="45">
        <f>SUM(D147:D151)</f>
        <v>118.39999999999999</v>
      </c>
      <c r="E146" s="45"/>
      <c r="F146" s="45"/>
      <c r="G146" s="46">
        <f t="shared" si="8"/>
        <v>0</v>
      </c>
      <c r="H146" s="177" t="e">
        <f t="shared" si="9"/>
        <v>#DIV/0!</v>
      </c>
      <c r="J146" s="99"/>
      <c r="K146" s="94"/>
      <c r="N146" s="95"/>
      <c r="O146" s="95"/>
    </row>
    <row r="147" spans="1:15" ht="26.25" customHeight="1">
      <c r="A147" s="41"/>
      <c r="B147" s="84" t="s">
        <v>329</v>
      </c>
      <c r="C147" s="191"/>
      <c r="D147" s="19">
        <v>34.299999999999997</v>
      </c>
      <c r="E147" s="15"/>
      <c r="F147" s="15"/>
      <c r="G147" s="20">
        <f t="shared" si="8"/>
        <v>0</v>
      </c>
      <c r="H147" s="178" t="e">
        <f t="shared" si="9"/>
        <v>#DIV/0!</v>
      </c>
    </row>
    <row r="148" spans="1:15" ht="26.25" customHeight="1">
      <c r="A148" s="41"/>
      <c r="B148" s="84" t="s">
        <v>330</v>
      </c>
      <c r="C148" s="191"/>
      <c r="D148" s="19">
        <v>32.4</v>
      </c>
      <c r="E148" s="15"/>
      <c r="F148" s="15"/>
      <c r="G148" s="20">
        <f t="shared" si="8"/>
        <v>0</v>
      </c>
      <c r="H148" s="178" t="e">
        <f t="shared" si="9"/>
        <v>#DIV/0!</v>
      </c>
    </row>
    <row r="149" spans="1:15" ht="26.25" customHeight="1">
      <c r="A149" s="41"/>
      <c r="B149" s="84" t="s">
        <v>271</v>
      </c>
      <c r="C149" s="191"/>
      <c r="D149" s="19">
        <v>22.4</v>
      </c>
      <c r="E149" s="15"/>
      <c r="F149" s="15"/>
      <c r="G149" s="20">
        <f t="shared" si="8"/>
        <v>0</v>
      </c>
      <c r="H149" s="178" t="e">
        <f t="shared" si="9"/>
        <v>#DIV/0!</v>
      </c>
    </row>
    <row r="150" spans="1:15" ht="37.5" customHeight="1">
      <c r="A150" s="41"/>
      <c r="B150" s="84" t="s">
        <v>162</v>
      </c>
      <c r="C150" s="191"/>
      <c r="D150" s="19">
        <v>16.3</v>
      </c>
      <c r="E150" s="15"/>
      <c r="F150" s="15"/>
      <c r="G150" s="20">
        <f t="shared" si="8"/>
        <v>0</v>
      </c>
      <c r="H150" s="178" t="e">
        <f t="shared" si="9"/>
        <v>#DIV/0!</v>
      </c>
    </row>
    <row r="151" spans="1:15" ht="30" customHeight="1">
      <c r="A151" s="41"/>
      <c r="B151" s="84" t="s">
        <v>163</v>
      </c>
      <c r="C151" s="191"/>
      <c r="D151" s="19">
        <v>13</v>
      </c>
      <c r="E151" s="15"/>
      <c r="F151" s="15"/>
      <c r="G151" s="20">
        <f t="shared" si="8"/>
        <v>0</v>
      </c>
      <c r="H151" s="178" t="e">
        <f t="shared" si="9"/>
        <v>#DIV/0!</v>
      </c>
    </row>
    <row r="152" spans="1:15" ht="28.5" customHeight="1">
      <c r="A152" s="42" t="s">
        <v>453</v>
      </c>
      <c r="B152" s="74" t="s">
        <v>2</v>
      </c>
      <c r="C152" s="44">
        <v>1012</v>
      </c>
      <c r="D152" s="45">
        <v>202.1</v>
      </c>
      <c r="E152" s="45"/>
      <c r="F152" s="45"/>
      <c r="G152" s="46">
        <f t="shared" si="8"/>
        <v>0</v>
      </c>
      <c r="H152" s="177" t="e">
        <f t="shared" si="9"/>
        <v>#DIV/0!</v>
      </c>
    </row>
    <row r="153" spans="1:15" ht="25.5" customHeight="1">
      <c r="A153" s="42" t="s">
        <v>295</v>
      </c>
      <c r="B153" s="74" t="s">
        <v>3</v>
      </c>
      <c r="C153" s="44">
        <v>1013</v>
      </c>
      <c r="D153" s="45">
        <v>42.4</v>
      </c>
      <c r="E153" s="45"/>
      <c r="F153" s="45"/>
      <c r="G153" s="46">
        <f t="shared" si="8"/>
        <v>0</v>
      </c>
      <c r="H153" s="177" t="e">
        <f t="shared" si="9"/>
        <v>#DIV/0!</v>
      </c>
    </row>
    <row r="154" spans="1:15" ht="24.75" customHeight="1">
      <c r="A154" s="42" t="s">
        <v>454</v>
      </c>
      <c r="B154" s="74" t="s">
        <v>4</v>
      </c>
      <c r="C154" s="44">
        <v>1014</v>
      </c>
      <c r="D154" s="45">
        <v>140.1</v>
      </c>
      <c r="E154" s="45"/>
      <c r="F154" s="45"/>
      <c r="G154" s="46">
        <f t="shared" si="8"/>
        <v>0</v>
      </c>
      <c r="H154" s="177" t="e">
        <f t="shared" si="9"/>
        <v>#DIV/0!</v>
      </c>
    </row>
    <row r="155" spans="1:15" ht="24.75" customHeight="1">
      <c r="A155" s="42" t="s">
        <v>455</v>
      </c>
      <c r="B155" s="72" t="s">
        <v>98</v>
      </c>
      <c r="C155" s="73">
        <v>1015</v>
      </c>
      <c r="D155" s="45">
        <f>SUM(D156:D171)</f>
        <v>156.1</v>
      </c>
      <c r="E155" s="45">
        <f>SUM(E156:E171)</f>
        <v>0</v>
      </c>
      <c r="F155" s="45">
        <f>SUM(F156:F171)</f>
        <v>0</v>
      </c>
      <c r="G155" s="46">
        <f t="shared" si="8"/>
        <v>0</v>
      </c>
      <c r="H155" s="177" t="e">
        <f t="shared" si="9"/>
        <v>#DIV/0!</v>
      </c>
      <c r="I155" s="21"/>
    </row>
    <row r="156" spans="1:15" ht="27" customHeight="1">
      <c r="A156" s="56"/>
      <c r="B156" s="24" t="s">
        <v>146</v>
      </c>
      <c r="C156" s="12"/>
      <c r="D156" s="19">
        <v>3.7</v>
      </c>
      <c r="E156" s="19"/>
      <c r="F156" s="19"/>
      <c r="G156" s="16">
        <f t="shared" si="8"/>
        <v>0</v>
      </c>
      <c r="H156" s="59" t="e">
        <f t="shared" si="9"/>
        <v>#DIV/0!</v>
      </c>
    </row>
    <row r="157" spans="1:15" ht="27" customHeight="1">
      <c r="A157" s="56"/>
      <c r="B157" s="24" t="s">
        <v>148</v>
      </c>
      <c r="C157" s="12"/>
      <c r="D157" s="19">
        <v>5.0999999999999996</v>
      </c>
      <c r="E157" s="19"/>
      <c r="F157" s="19"/>
      <c r="G157" s="16">
        <f t="shared" si="8"/>
        <v>0</v>
      </c>
      <c r="H157" s="59" t="e">
        <f t="shared" si="9"/>
        <v>#DIV/0!</v>
      </c>
    </row>
    <row r="158" spans="1:15" ht="26.25" customHeight="1">
      <c r="A158" s="56"/>
      <c r="B158" s="24" t="s">
        <v>150</v>
      </c>
      <c r="C158" s="12"/>
      <c r="D158" s="19">
        <v>5</v>
      </c>
      <c r="E158" s="19"/>
      <c r="F158" s="19"/>
      <c r="G158" s="16">
        <f t="shared" si="8"/>
        <v>0</v>
      </c>
      <c r="H158" s="59" t="e">
        <f t="shared" si="9"/>
        <v>#DIV/0!</v>
      </c>
    </row>
    <row r="159" spans="1:15" ht="26.25" customHeight="1">
      <c r="A159" s="56"/>
      <c r="B159" s="24" t="s">
        <v>391</v>
      </c>
      <c r="C159" s="12"/>
      <c r="D159" s="19">
        <v>23.6</v>
      </c>
      <c r="E159" s="19"/>
      <c r="F159" s="19"/>
      <c r="G159" s="16">
        <f t="shared" si="8"/>
        <v>0</v>
      </c>
      <c r="H159" s="59" t="e">
        <f t="shared" si="9"/>
        <v>#DIV/0!</v>
      </c>
    </row>
    <row r="160" spans="1:15" ht="26.25" customHeight="1">
      <c r="A160" s="56"/>
      <c r="B160" s="24" t="s">
        <v>272</v>
      </c>
      <c r="C160" s="12"/>
      <c r="D160" s="19">
        <v>12.6</v>
      </c>
      <c r="E160" s="19"/>
      <c r="F160" s="19"/>
      <c r="G160" s="16">
        <f t="shared" si="8"/>
        <v>0</v>
      </c>
      <c r="H160" s="59" t="e">
        <f t="shared" si="9"/>
        <v>#DIV/0!</v>
      </c>
    </row>
    <row r="161" spans="1:8" ht="26.25" customHeight="1">
      <c r="A161" s="56"/>
      <c r="B161" s="24" t="s">
        <v>166</v>
      </c>
      <c r="C161" s="12"/>
      <c r="D161" s="19">
        <v>2.5</v>
      </c>
      <c r="E161" s="19"/>
      <c r="F161" s="19"/>
      <c r="G161" s="16">
        <f t="shared" si="8"/>
        <v>0</v>
      </c>
      <c r="H161" s="59" t="e">
        <f t="shared" si="9"/>
        <v>#DIV/0!</v>
      </c>
    </row>
    <row r="162" spans="1:8" ht="28.5" customHeight="1">
      <c r="A162" s="56"/>
      <c r="B162" s="24" t="s">
        <v>153</v>
      </c>
      <c r="C162" s="12"/>
      <c r="D162" s="19">
        <v>38.6</v>
      </c>
      <c r="E162" s="19"/>
      <c r="F162" s="19"/>
      <c r="G162" s="16">
        <f t="shared" si="8"/>
        <v>0</v>
      </c>
      <c r="H162" s="59" t="e">
        <f t="shared" si="9"/>
        <v>#DIV/0!</v>
      </c>
    </row>
    <row r="163" spans="1:8" ht="29.25" customHeight="1">
      <c r="A163" s="56"/>
      <c r="B163" s="24" t="s">
        <v>152</v>
      </c>
      <c r="C163" s="12"/>
      <c r="D163" s="19">
        <v>2.1</v>
      </c>
      <c r="E163" s="19"/>
      <c r="F163" s="19"/>
      <c r="G163" s="16">
        <f t="shared" si="8"/>
        <v>0</v>
      </c>
      <c r="H163" s="59" t="e">
        <f t="shared" si="9"/>
        <v>#DIV/0!</v>
      </c>
    </row>
    <row r="164" spans="1:8" ht="29.25" customHeight="1">
      <c r="A164" s="56"/>
      <c r="B164" s="24" t="s">
        <v>167</v>
      </c>
      <c r="C164" s="12"/>
      <c r="D164" s="19">
        <v>4.2</v>
      </c>
      <c r="E164" s="19"/>
      <c r="F164" s="19"/>
      <c r="G164" s="16">
        <f t="shared" si="8"/>
        <v>0</v>
      </c>
      <c r="H164" s="59" t="e">
        <f t="shared" si="9"/>
        <v>#DIV/0!</v>
      </c>
    </row>
    <row r="165" spans="1:8" ht="29.25" customHeight="1">
      <c r="A165" s="56"/>
      <c r="B165" s="24" t="s">
        <v>238</v>
      </c>
      <c r="C165" s="12"/>
      <c r="D165" s="19">
        <v>1.8</v>
      </c>
      <c r="E165" s="19"/>
      <c r="F165" s="19"/>
      <c r="G165" s="16">
        <f t="shared" si="8"/>
        <v>0</v>
      </c>
      <c r="H165" s="59" t="e">
        <f t="shared" si="9"/>
        <v>#DIV/0!</v>
      </c>
    </row>
    <row r="166" spans="1:8" ht="28.5" customHeight="1">
      <c r="A166" s="56"/>
      <c r="B166" s="18" t="s">
        <v>154</v>
      </c>
      <c r="C166" s="12"/>
      <c r="D166" s="19">
        <v>10.1</v>
      </c>
      <c r="E166" s="19"/>
      <c r="F166" s="19"/>
      <c r="G166" s="16">
        <f t="shared" si="8"/>
        <v>0</v>
      </c>
      <c r="H166" s="59" t="e">
        <f t="shared" si="9"/>
        <v>#DIV/0!</v>
      </c>
    </row>
    <row r="167" spans="1:8" ht="28.5" customHeight="1">
      <c r="A167" s="56"/>
      <c r="B167" s="18" t="s">
        <v>215</v>
      </c>
      <c r="C167" s="12"/>
      <c r="D167" s="19">
        <v>28.6</v>
      </c>
      <c r="E167" s="19"/>
      <c r="F167" s="19"/>
      <c r="G167" s="16">
        <f t="shared" si="8"/>
        <v>0</v>
      </c>
      <c r="H167" s="59" t="e">
        <f t="shared" si="9"/>
        <v>#DIV/0!</v>
      </c>
    </row>
    <row r="168" spans="1:8" ht="28.5" customHeight="1">
      <c r="A168" s="56"/>
      <c r="B168" s="18" t="s">
        <v>165</v>
      </c>
      <c r="C168" s="12"/>
      <c r="D168" s="19">
        <v>1.5</v>
      </c>
      <c r="E168" s="19"/>
      <c r="F168" s="19"/>
      <c r="G168" s="16">
        <f t="shared" si="8"/>
        <v>0</v>
      </c>
      <c r="H168" s="59" t="e">
        <f t="shared" si="9"/>
        <v>#DIV/0!</v>
      </c>
    </row>
    <row r="169" spans="1:8" ht="28.5" customHeight="1">
      <c r="A169" s="56"/>
      <c r="B169" s="18" t="s">
        <v>240</v>
      </c>
      <c r="C169" s="12"/>
      <c r="D169" s="19">
        <v>1.6</v>
      </c>
      <c r="E169" s="19"/>
      <c r="F169" s="19"/>
      <c r="G169" s="16">
        <f t="shared" si="8"/>
        <v>0</v>
      </c>
      <c r="H169" s="59" t="e">
        <f t="shared" si="9"/>
        <v>#DIV/0!</v>
      </c>
    </row>
    <row r="170" spans="1:8" ht="28.5" customHeight="1">
      <c r="A170" s="47"/>
      <c r="B170" s="27" t="s">
        <v>173</v>
      </c>
      <c r="C170" s="48"/>
      <c r="D170" s="19">
        <v>6</v>
      </c>
      <c r="E170" s="19"/>
      <c r="F170" s="19"/>
      <c r="G170" s="16">
        <f t="shared" si="8"/>
        <v>0</v>
      </c>
      <c r="H170" s="59" t="e">
        <f t="shared" si="9"/>
        <v>#DIV/0!</v>
      </c>
    </row>
    <row r="171" spans="1:8" ht="30.75" customHeight="1">
      <c r="A171" s="47"/>
      <c r="B171" s="27" t="s">
        <v>174</v>
      </c>
      <c r="C171" s="48"/>
      <c r="D171" s="19">
        <v>9.1</v>
      </c>
      <c r="E171" s="19"/>
      <c r="F171" s="19"/>
      <c r="G171" s="16">
        <f t="shared" si="8"/>
        <v>0</v>
      </c>
      <c r="H171" s="59" t="e">
        <f t="shared" si="9"/>
        <v>#DIV/0!</v>
      </c>
    </row>
    <row r="172" spans="1:8" ht="26.25" customHeight="1">
      <c r="A172" s="56" t="s">
        <v>296</v>
      </c>
      <c r="B172" s="65" t="s">
        <v>92</v>
      </c>
      <c r="C172" s="66">
        <v>1020</v>
      </c>
      <c r="D172" s="15">
        <f>D173+D176</f>
        <v>65.8</v>
      </c>
      <c r="E172" s="15">
        <f>E173+E176</f>
        <v>0</v>
      </c>
      <c r="F172" s="15">
        <f>F173+F176</f>
        <v>0</v>
      </c>
      <c r="G172" s="20">
        <f t="shared" si="8"/>
        <v>0</v>
      </c>
      <c r="H172" s="178" t="e">
        <f t="shared" si="9"/>
        <v>#DIV/0!</v>
      </c>
    </row>
    <row r="173" spans="1:8" ht="26.25" customHeight="1">
      <c r="A173" s="42" t="s">
        <v>297</v>
      </c>
      <c r="B173" s="62" t="s">
        <v>107</v>
      </c>
      <c r="C173" s="44">
        <v>1021</v>
      </c>
      <c r="D173" s="45">
        <f>SUM(D174:D175)</f>
        <v>13.600000000000001</v>
      </c>
      <c r="E173" s="45">
        <f>SUM(E174:E175)</f>
        <v>0</v>
      </c>
      <c r="F173" s="45">
        <f>SUM(F174:F175)</f>
        <v>0</v>
      </c>
      <c r="G173" s="46">
        <f t="shared" si="8"/>
        <v>0</v>
      </c>
      <c r="H173" s="177" t="e">
        <f t="shared" si="9"/>
        <v>#DIV/0!</v>
      </c>
    </row>
    <row r="174" spans="1:8" ht="40.5" customHeight="1">
      <c r="A174" s="42"/>
      <c r="B174" s="18" t="s">
        <v>162</v>
      </c>
      <c r="C174" s="48"/>
      <c r="D174" s="19">
        <v>2.7</v>
      </c>
      <c r="E174" s="19"/>
      <c r="F174" s="19"/>
      <c r="G174" s="16">
        <f t="shared" si="8"/>
        <v>0</v>
      </c>
      <c r="H174" s="59" t="e">
        <f t="shared" si="9"/>
        <v>#DIV/0!</v>
      </c>
    </row>
    <row r="175" spans="1:8" ht="27" customHeight="1">
      <c r="A175" s="42"/>
      <c r="B175" s="22" t="s">
        <v>163</v>
      </c>
      <c r="C175" s="48"/>
      <c r="D175" s="19">
        <v>10.9</v>
      </c>
      <c r="E175" s="19"/>
      <c r="F175" s="19"/>
      <c r="G175" s="16">
        <f t="shared" si="8"/>
        <v>0</v>
      </c>
      <c r="H175" s="59" t="e">
        <f t="shared" si="9"/>
        <v>#DIV/0!</v>
      </c>
    </row>
    <row r="176" spans="1:8" ht="27" customHeight="1">
      <c r="A176" s="42" t="s">
        <v>298</v>
      </c>
      <c r="B176" s="62" t="s">
        <v>177</v>
      </c>
      <c r="C176" s="44">
        <v>1025</v>
      </c>
      <c r="D176" s="45">
        <f>SUM(D177:D180)</f>
        <v>52.199999999999996</v>
      </c>
      <c r="E176" s="45">
        <f>SUM(E177:E180)</f>
        <v>0</v>
      </c>
      <c r="F176" s="45">
        <f>SUM(F177:F180)</f>
        <v>0</v>
      </c>
      <c r="G176" s="46">
        <f t="shared" si="8"/>
        <v>0</v>
      </c>
      <c r="H176" s="177" t="e">
        <f t="shared" si="9"/>
        <v>#DIV/0!</v>
      </c>
    </row>
    <row r="177" spans="1:8" ht="24.75" customHeight="1">
      <c r="A177" s="52"/>
      <c r="B177" s="26" t="s">
        <v>154</v>
      </c>
      <c r="C177" s="48"/>
      <c r="D177" s="19">
        <v>44</v>
      </c>
      <c r="E177" s="19"/>
      <c r="F177" s="19"/>
      <c r="G177" s="16">
        <f t="shared" si="8"/>
        <v>0</v>
      </c>
      <c r="H177" s="59" t="e">
        <f t="shared" si="9"/>
        <v>#DIV/0!</v>
      </c>
    </row>
    <row r="178" spans="1:8" ht="24.75" customHeight="1">
      <c r="A178" s="52"/>
      <c r="B178" s="24" t="s">
        <v>159</v>
      </c>
      <c r="C178" s="48"/>
      <c r="D178" s="19">
        <v>4.5999999999999996</v>
      </c>
      <c r="E178" s="19"/>
      <c r="F178" s="19"/>
      <c r="G178" s="16">
        <f t="shared" si="8"/>
        <v>0</v>
      </c>
      <c r="H178" s="59" t="e">
        <f t="shared" si="9"/>
        <v>#DIV/0!</v>
      </c>
    </row>
    <row r="179" spans="1:8" ht="24.75" customHeight="1">
      <c r="A179" s="52"/>
      <c r="B179" s="24" t="s">
        <v>485</v>
      </c>
      <c r="C179" s="48"/>
      <c r="D179" s="19">
        <v>1.3</v>
      </c>
      <c r="E179" s="19"/>
      <c r="F179" s="19"/>
      <c r="G179" s="16">
        <f t="shared" si="8"/>
        <v>0</v>
      </c>
      <c r="H179" s="59" t="e">
        <f t="shared" si="9"/>
        <v>#DIV/0!</v>
      </c>
    </row>
    <row r="180" spans="1:8" ht="24.75" customHeight="1">
      <c r="A180" s="52"/>
      <c r="B180" s="26" t="s">
        <v>203</v>
      </c>
      <c r="C180" s="48"/>
      <c r="D180" s="19">
        <v>2.2999999999999998</v>
      </c>
      <c r="E180" s="19"/>
      <c r="F180" s="19"/>
      <c r="G180" s="16">
        <f t="shared" si="8"/>
        <v>0</v>
      </c>
      <c r="H180" s="59" t="e">
        <f t="shared" si="9"/>
        <v>#DIV/0!</v>
      </c>
    </row>
    <row r="181" spans="1:8" ht="24.75" customHeight="1">
      <c r="A181" s="56" t="s">
        <v>299</v>
      </c>
      <c r="B181" s="68" t="s">
        <v>93</v>
      </c>
      <c r="C181" s="66">
        <v>1030</v>
      </c>
      <c r="D181" s="15">
        <f>D182</f>
        <v>17.100000000000001</v>
      </c>
      <c r="E181" s="15">
        <f>E182</f>
        <v>0</v>
      </c>
      <c r="F181" s="15">
        <f>F182</f>
        <v>0</v>
      </c>
      <c r="G181" s="20">
        <f t="shared" si="8"/>
        <v>0</v>
      </c>
      <c r="H181" s="178" t="e">
        <f t="shared" si="9"/>
        <v>#DIV/0!</v>
      </c>
    </row>
    <row r="182" spans="1:8" ht="24.75" customHeight="1">
      <c r="A182" s="42" t="s">
        <v>300</v>
      </c>
      <c r="B182" s="75" t="s">
        <v>93</v>
      </c>
      <c r="C182" s="50">
        <v>1035</v>
      </c>
      <c r="D182" s="45">
        <f>SUM(D183:D183)</f>
        <v>17.100000000000001</v>
      </c>
      <c r="E182" s="45">
        <f>SUM(E183:E183)</f>
        <v>0</v>
      </c>
      <c r="F182" s="45">
        <f>SUM(F183:F183)</f>
        <v>0</v>
      </c>
      <c r="G182" s="46">
        <f t="shared" si="8"/>
        <v>0</v>
      </c>
      <c r="H182" s="177" t="e">
        <f t="shared" si="9"/>
        <v>#DIV/0!</v>
      </c>
    </row>
    <row r="183" spans="1:8" ht="24.75" customHeight="1">
      <c r="A183" s="41"/>
      <c r="B183" s="18" t="s">
        <v>279</v>
      </c>
      <c r="C183" s="48"/>
      <c r="D183" s="19">
        <v>17.100000000000001</v>
      </c>
      <c r="E183" s="19"/>
      <c r="F183" s="19"/>
      <c r="G183" s="16">
        <f t="shared" si="8"/>
        <v>0</v>
      </c>
      <c r="H183" s="59" t="e">
        <f t="shared" si="9"/>
        <v>#DIV/0!</v>
      </c>
    </row>
    <row r="184" spans="1:8" ht="31.5" customHeight="1">
      <c r="A184" s="41" t="s">
        <v>187</v>
      </c>
      <c r="B184" s="192" t="s">
        <v>178</v>
      </c>
      <c r="C184" s="191"/>
      <c r="D184" s="15">
        <f>D186</f>
        <v>48.9</v>
      </c>
      <c r="E184" s="15">
        <f>E186</f>
        <v>0</v>
      </c>
      <c r="F184" s="15">
        <f>F186</f>
        <v>0</v>
      </c>
      <c r="G184" s="20">
        <f t="shared" si="8"/>
        <v>0</v>
      </c>
      <c r="H184" s="178" t="e">
        <f t="shared" si="9"/>
        <v>#DIV/0!</v>
      </c>
    </row>
    <row r="185" spans="1:8" ht="30.75" customHeight="1">
      <c r="A185" s="47"/>
      <c r="B185" s="40" t="s">
        <v>86</v>
      </c>
      <c r="C185" s="66"/>
      <c r="D185" s="19"/>
      <c r="E185" s="19"/>
      <c r="F185" s="19"/>
      <c r="G185" s="20"/>
      <c r="H185" s="178"/>
    </row>
    <row r="186" spans="1:8" ht="24.75" customHeight="1">
      <c r="A186" s="56" t="s">
        <v>301</v>
      </c>
      <c r="B186" s="190" t="s">
        <v>90</v>
      </c>
      <c r="C186" s="66">
        <v>1010</v>
      </c>
      <c r="D186" s="15">
        <f>D187+D191+D192+D193</f>
        <v>48.9</v>
      </c>
      <c r="E186" s="15">
        <f>E187+E191+E192+E193</f>
        <v>0</v>
      </c>
      <c r="F186" s="15">
        <f>F187+F191+F192+F193</f>
        <v>0</v>
      </c>
      <c r="G186" s="20">
        <f t="shared" si="8"/>
        <v>0</v>
      </c>
      <c r="H186" s="178" t="e">
        <f t="shared" si="9"/>
        <v>#DIV/0!</v>
      </c>
    </row>
    <row r="187" spans="1:8" ht="30" customHeight="1">
      <c r="A187" s="76" t="s">
        <v>302</v>
      </c>
      <c r="B187" s="43" t="s">
        <v>107</v>
      </c>
      <c r="C187" s="44">
        <v>1011</v>
      </c>
      <c r="D187" s="45">
        <f>SUM(D188:D190)</f>
        <v>6.8000000000000007</v>
      </c>
      <c r="E187" s="45">
        <f>SUM(E188:E190)</f>
        <v>0</v>
      </c>
      <c r="F187" s="45">
        <f>SUM(F188:F190)</f>
        <v>0</v>
      </c>
      <c r="G187" s="46">
        <f t="shared" si="8"/>
        <v>0</v>
      </c>
      <c r="H187" s="177" t="e">
        <f t="shared" si="9"/>
        <v>#DIV/0!</v>
      </c>
    </row>
    <row r="188" spans="1:8" ht="24.75" customHeight="1">
      <c r="A188" s="76"/>
      <c r="B188" s="18" t="s">
        <v>140</v>
      </c>
      <c r="C188" s="48"/>
      <c r="D188" s="19">
        <v>1.9</v>
      </c>
      <c r="E188" s="19"/>
      <c r="F188" s="19"/>
      <c r="G188" s="16">
        <f t="shared" si="8"/>
        <v>0</v>
      </c>
      <c r="H188" s="59" t="e">
        <f t="shared" si="9"/>
        <v>#DIV/0!</v>
      </c>
    </row>
    <row r="189" spans="1:8" ht="24.75" customHeight="1">
      <c r="A189" s="76"/>
      <c r="B189" s="18" t="s">
        <v>180</v>
      </c>
      <c r="C189" s="48"/>
      <c r="D189" s="19">
        <v>4.5</v>
      </c>
      <c r="E189" s="19"/>
      <c r="F189" s="19"/>
      <c r="G189" s="16">
        <f t="shared" si="8"/>
        <v>0</v>
      </c>
      <c r="H189" s="59" t="e">
        <f t="shared" si="9"/>
        <v>#DIV/0!</v>
      </c>
    </row>
    <row r="190" spans="1:8" ht="37.5" customHeight="1">
      <c r="A190" s="76"/>
      <c r="B190" s="18" t="s">
        <v>162</v>
      </c>
      <c r="C190" s="48"/>
      <c r="D190" s="19">
        <v>0.4</v>
      </c>
      <c r="E190" s="19"/>
      <c r="F190" s="19"/>
      <c r="G190" s="16">
        <f t="shared" si="8"/>
        <v>0</v>
      </c>
      <c r="H190" s="59" t="e">
        <f t="shared" si="9"/>
        <v>#DIV/0!</v>
      </c>
    </row>
    <row r="191" spans="1:8" ht="24.75" customHeight="1">
      <c r="A191" s="42" t="s">
        <v>303</v>
      </c>
      <c r="B191" s="43" t="s">
        <v>2</v>
      </c>
      <c r="C191" s="44">
        <v>1012</v>
      </c>
      <c r="D191" s="45">
        <v>25.5</v>
      </c>
      <c r="E191" s="45"/>
      <c r="F191" s="45"/>
      <c r="G191" s="46">
        <f t="shared" si="8"/>
        <v>0</v>
      </c>
      <c r="H191" s="177" t="e">
        <f t="shared" si="9"/>
        <v>#DIV/0!</v>
      </c>
    </row>
    <row r="192" spans="1:8" ht="24.75" customHeight="1">
      <c r="A192" s="42" t="s">
        <v>304</v>
      </c>
      <c r="B192" s="43" t="s">
        <v>3</v>
      </c>
      <c r="C192" s="44">
        <v>1013</v>
      </c>
      <c r="D192" s="45">
        <v>5.2</v>
      </c>
      <c r="E192" s="45"/>
      <c r="F192" s="45"/>
      <c r="G192" s="46">
        <f t="shared" si="8"/>
        <v>0</v>
      </c>
      <c r="H192" s="177" t="e">
        <f t="shared" si="9"/>
        <v>#DIV/0!</v>
      </c>
    </row>
    <row r="193" spans="1:9" ht="24.75" customHeight="1">
      <c r="A193" s="76" t="s">
        <v>305</v>
      </c>
      <c r="B193" s="77" t="s">
        <v>181</v>
      </c>
      <c r="C193" s="73">
        <v>1015</v>
      </c>
      <c r="D193" s="45">
        <f>SUM(D194:D197)</f>
        <v>11.4</v>
      </c>
      <c r="E193" s="45">
        <f>SUM(E194:E197)</f>
        <v>0</v>
      </c>
      <c r="F193" s="45">
        <f>SUM(F194:F197)</f>
        <v>0</v>
      </c>
      <c r="G193" s="46">
        <f t="shared" si="8"/>
        <v>0</v>
      </c>
      <c r="H193" s="177" t="e">
        <f t="shared" si="9"/>
        <v>#DIV/0!</v>
      </c>
    </row>
    <row r="194" spans="1:9" ht="24.75" customHeight="1">
      <c r="A194" s="78"/>
      <c r="B194" s="18" t="s">
        <v>154</v>
      </c>
      <c r="C194" s="12"/>
      <c r="D194" s="19">
        <v>0.2</v>
      </c>
      <c r="E194" s="19"/>
      <c r="F194" s="19"/>
      <c r="G194" s="16">
        <f t="shared" si="8"/>
        <v>0</v>
      </c>
      <c r="H194" s="59" t="e">
        <f t="shared" si="9"/>
        <v>#DIV/0!</v>
      </c>
    </row>
    <row r="195" spans="1:9" ht="24.75" customHeight="1">
      <c r="A195" s="78"/>
      <c r="B195" s="18" t="s">
        <v>172</v>
      </c>
      <c r="C195" s="12"/>
      <c r="D195" s="19">
        <v>3.8</v>
      </c>
      <c r="E195" s="19"/>
      <c r="F195" s="19"/>
      <c r="G195" s="16">
        <f t="shared" si="8"/>
        <v>0</v>
      </c>
      <c r="H195" s="59" t="e">
        <f t="shared" si="9"/>
        <v>#DIV/0!</v>
      </c>
    </row>
    <row r="196" spans="1:9" ht="24.75" customHeight="1">
      <c r="A196" s="78"/>
      <c r="B196" s="18" t="s">
        <v>173</v>
      </c>
      <c r="C196" s="12"/>
      <c r="D196" s="19">
        <v>1.2</v>
      </c>
      <c r="E196" s="19"/>
      <c r="F196" s="19"/>
      <c r="G196" s="16">
        <f t="shared" si="8"/>
        <v>0</v>
      </c>
      <c r="H196" s="59" t="e">
        <f t="shared" si="9"/>
        <v>#DIV/0!</v>
      </c>
    </row>
    <row r="197" spans="1:9" ht="24.75" customHeight="1">
      <c r="A197" s="78"/>
      <c r="B197" s="18" t="s">
        <v>174</v>
      </c>
      <c r="C197" s="12"/>
      <c r="D197" s="19">
        <v>6.2</v>
      </c>
      <c r="E197" s="19"/>
      <c r="F197" s="19"/>
      <c r="G197" s="16">
        <f t="shared" si="8"/>
        <v>0</v>
      </c>
      <c r="H197" s="59" t="e">
        <f t="shared" si="9"/>
        <v>#DIV/0!</v>
      </c>
    </row>
    <row r="198" spans="1:9" ht="46.5" customHeight="1">
      <c r="A198" s="41" t="s">
        <v>188</v>
      </c>
      <c r="B198" s="60" t="s">
        <v>255</v>
      </c>
      <c r="C198" s="191"/>
      <c r="D198" s="15">
        <f>D200+D215+D208</f>
        <v>210.7</v>
      </c>
      <c r="E198" s="19">
        <f>E200</f>
        <v>0</v>
      </c>
      <c r="F198" s="19">
        <f>F200</f>
        <v>0</v>
      </c>
      <c r="G198" s="20">
        <f t="shared" si="8"/>
        <v>0</v>
      </c>
      <c r="H198" s="178" t="e">
        <f t="shared" si="9"/>
        <v>#DIV/0!</v>
      </c>
      <c r="I198" s="21"/>
    </row>
    <row r="199" spans="1:9" ht="30" customHeight="1">
      <c r="A199" s="79"/>
      <c r="B199" s="40" t="s">
        <v>86</v>
      </c>
      <c r="C199" s="66"/>
      <c r="D199" s="19"/>
      <c r="E199" s="19"/>
      <c r="F199" s="19"/>
      <c r="G199" s="20"/>
      <c r="H199" s="178"/>
    </row>
    <row r="200" spans="1:9" ht="24.75" customHeight="1">
      <c r="A200" s="41" t="s">
        <v>306</v>
      </c>
      <c r="B200" s="190" t="s">
        <v>90</v>
      </c>
      <c r="C200" s="66">
        <v>1010</v>
      </c>
      <c r="D200" s="15">
        <f>D201+D204</f>
        <v>153.69999999999999</v>
      </c>
      <c r="E200" s="15">
        <f>E201+E204</f>
        <v>0</v>
      </c>
      <c r="F200" s="15">
        <f>F201+F204</f>
        <v>0</v>
      </c>
      <c r="G200" s="20">
        <f t="shared" si="8"/>
        <v>0</v>
      </c>
      <c r="H200" s="178" t="e">
        <f t="shared" si="9"/>
        <v>#DIV/0!</v>
      </c>
    </row>
    <row r="201" spans="1:9" ht="24.75" customHeight="1">
      <c r="A201" s="42" t="s">
        <v>189</v>
      </c>
      <c r="B201" s="43" t="s">
        <v>107</v>
      </c>
      <c r="C201" s="44">
        <v>1011</v>
      </c>
      <c r="D201" s="45">
        <f>SUM(D202:D203)</f>
        <v>125.69999999999999</v>
      </c>
      <c r="E201" s="45">
        <f>SUM(E202:E203)</f>
        <v>0</v>
      </c>
      <c r="F201" s="45">
        <f>SUM(F202:F203)</f>
        <v>0</v>
      </c>
      <c r="G201" s="46">
        <f t="shared" si="8"/>
        <v>0</v>
      </c>
      <c r="H201" s="177" t="e">
        <f t="shared" si="9"/>
        <v>#DIV/0!</v>
      </c>
    </row>
    <row r="202" spans="1:9" ht="24.75" customHeight="1">
      <c r="A202" s="42"/>
      <c r="B202" s="18" t="s">
        <v>163</v>
      </c>
      <c r="C202" s="48"/>
      <c r="D202" s="19">
        <v>17.100000000000001</v>
      </c>
      <c r="E202" s="19"/>
      <c r="F202" s="19"/>
      <c r="G202" s="16">
        <f t="shared" si="8"/>
        <v>0</v>
      </c>
      <c r="H202" s="59" t="e">
        <f t="shared" si="9"/>
        <v>#DIV/0!</v>
      </c>
    </row>
    <row r="203" spans="1:9" ht="36" customHeight="1">
      <c r="A203" s="42"/>
      <c r="B203" s="18" t="s">
        <v>162</v>
      </c>
      <c r="C203" s="48"/>
      <c r="D203" s="19">
        <v>108.6</v>
      </c>
      <c r="E203" s="19"/>
      <c r="F203" s="19"/>
      <c r="G203" s="16">
        <f t="shared" ref="G203:G269" si="10">F203-E203</f>
        <v>0</v>
      </c>
      <c r="H203" s="59" t="e">
        <f t="shared" ref="H203:H269" si="11">(F203/E203)*100</f>
        <v>#DIV/0!</v>
      </c>
    </row>
    <row r="204" spans="1:9" ht="24.75" customHeight="1">
      <c r="A204" s="42" t="s">
        <v>307</v>
      </c>
      <c r="B204" s="75" t="s">
        <v>185</v>
      </c>
      <c r="C204" s="50">
        <v>1015</v>
      </c>
      <c r="D204" s="45">
        <f>SUM(D205:D207)</f>
        <v>28</v>
      </c>
      <c r="E204" s="45">
        <f>SUM(E206:E207)</f>
        <v>0</v>
      </c>
      <c r="F204" s="45">
        <f>SUM(F206:F207)</f>
        <v>0</v>
      </c>
      <c r="G204" s="46">
        <f t="shared" si="10"/>
        <v>0</v>
      </c>
      <c r="H204" s="177" t="e">
        <f t="shared" si="11"/>
        <v>#DIV/0!</v>
      </c>
    </row>
    <row r="205" spans="1:9" ht="24.75" customHeight="1">
      <c r="A205" s="42"/>
      <c r="B205" s="18" t="s">
        <v>169</v>
      </c>
      <c r="C205" s="17"/>
      <c r="D205" s="19">
        <v>9.5</v>
      </c>
      <c r="E205" s="45"/>
      <c r="F205" s="45"/>
      <c r="G205" s="46">
        <f t="shared" si="10"/>
        <v>0</v>
      </c>
      <c r="H205" s="177" t="e">
        <f t="shared" si="11"/>
        <v>#DIV/0!</v>
      </c>
    </row>
    <row r="206" spans="1:9" ht="24.75" customHeight="1">
      <c r="A206" s="56"/>
      <c r="B206" s="18" t="s">
        <v>172</v>
      </c>
      <c r="C206" s="48"/>
      <c r="D206" s="19">
        <v>7.5</v>
      </c>
      <c r="E206" s="19"/>
      <c r="F206" s="19"/>
      <c r="G206" s="16">
        <f t="shared" si="10"/>
        <v>0</v>
      </c>
      <c r="H206" s="59" t="e">
        <f t="shared" si="11"/>
        <v>#DIV/0!</v>
      </c>
    </row>
    <row r="207" spans="1:9" ht="24.75" customHeight="1">
      <c r="A207" s="56"/>
      <c r="B207" s="18" t="s">
        <v>174</v>
      </c>
      <c r="C207" s="48"/>
      <c r="D207" s="19">
        <v>11</v>
      </c>
      <c r="E207" s="19"/>
      <c r="F207" s="19"/>
      <c r="G207" s="16">
        <f t="shared" si="10"/>
        <v>0</v>
      </c>
      <c r="H207" s="59" t="e">
        <f t="shared" si="11"/>
        <v>#DIV/0!</v>
      </c>
    </row>
    <row r="208" spans="1:9" ht="24.75" customHeight="1">
      <c r="A208" s="56" t="s">
        <v>331</v>
      </c>
      <c r="B208" s="60" t="s">
        <v>92</v>
      </c>
      <c r="C208" s="66">
        <v>1020</v>
      </c>
      <c r="D208" s="15">
        <f>D209</f>
        <v>56.3</v>
      </c>
      <c r="E208" s="15"/>
      <c r="F208" s="15"/>
      <c r="G208" s="16">
        <f t="shared" si="10"/>
        <v>0</v>
      </c>
      <c r="H208" s="59" t="e">
        <f t="shared" si="11"/>
        <v>#DIV/0!</v>
      </c>
    </row>
    <row r="209" spans="1:15" ht="24.75" customHeight="1">
      <c r="A209" s="42" t="s">
        <v>332</v>
      </c>
      <c r="B209" s="43" t="s">
        <v>158</v>
      </c>
      <c r="C209" s="44">
        <v>1025</v>
      </c>
      <c r="D209" s="45">
        <f>SUM(D210:D214)</f>
        <v>56.3</v>
      </c>
      <c r="E209" s="45"/>
      <c r="F209" s="45"/>
      <c r="G209" s="16">
        <f t="shared" si="10"/>
        <v>0</v>
      </c>
      <c r="H209" s="59" t="e">
        <f t="shared" si="11"/>
        <v>#DIV/0!</v>
      </c>
    </row>
    <row r="210" spans="1:15" ht="24.75" customHeight="1">
      <c r="A210" s="56"/>
      <c r="B210" s="18" t="s">
        <v>169</v>
      </c>
      <c r="C210" s="48"/>
      <c r="D210" s="19">
        <v>15.9</v>
      </c>
      <c r="E210" s="19"/>
      <c r="F210" s="19"/>
      <c r="G210" s="16">
        <f t="shared" si="10"/>
        <v>0</v>
      </c>
      <c r="H210" s="59" t="e">
        <f t="shared" si="11"/>
        <v>#DIV/0!</v>
      </c>
    </row>
    <row r="211" spans="1:15" ht="24.75" customHeight="1">
      <c r="A211" s="56"/>
      <c r="B211" s="18" t="s">
        <v>167</v>
      </c>
      <c r="C211" s="48"/>
      <c r="D211" s="19">
        <v>0.6</v>
      </c>
      <c r="E211" s="19"/>
      <c r="F211" s="19"/>
      <c r="G211" s="16">
        <f t="shared" si="10"/>
        <v>0</v>
      </c>
      <c r="H211" s="59" t="e">
        <f t="shared" si="11"/>
        <v>#DIV/0!</v>
      </c>
    </row>
    <row r="212" spans="1:15" ht="24.75" customHeight="1">
      <c r="A212" s="56"/>
      <c r="B212" s="18" t="s">
        <v>174</v>
      </c>
      <c r="C212" s="48"/>
      <c r="D212" s="19">
        <v>2</v>
      </c>
      <c r="E212" s="19"/>
      <c r="F212" s="19"/>
      <c r="G212" s="16">
        <f t="shared" si="10"/>
        <v>0</v>
      </c>
      <c r="H212" s="59" t="e">
        <f t="shared" si="11"/>
        <v>#DIV/0!</v>
      </c>
    </row>
    <row r="213" spans="1:15" ht="24.75" customHeight="1">
      <c r="A213" s="56"/>
      <c r="B213" s="18" t="s">
        <v>274</v>
      </c>
      <c r="C213" s="48"/>
      <c r="D213" s="19">
        <v>32</v>
      </c>
      <c r="E213" s="19"/>
      <c r="F213" s="19"/>
      <c r="G213" s="16">
        <f t="shared" si="10"/>
        <v>0</v>
      </c>
      <c r="H213" s="59" t="e">
        <f t="shared" si="11"/>
        <v>#DIV/0!</v>
      </c>
    </row>
    <row r="214" spans="1:15" ht="24.75" customHeight="1">
      <c r="A214" s="56"/>
      <c r="B214" s="18" t="s">
        <v>236</v>
      </c>
      <c r="C214" s="48"/>
      <c r="D214" s="19">
        <v>5.8</v>
      </c>
      <c r="E214" s="19"/>
      <c r="F214" s="19"/>
      <c r="G214" s="16">
        <f t="shared" si="10"/>
        <v>0</v>
      </c>
      <c r="H214" s="59" t="e">
        <f t="shared" si="11"/>
        <v>#DIV/0!</v>
      </c>
    </row>
    <row r="215" spans="1:15" ht="24.75" customHeight="1">
      <c r="A215" s="56" t="s">
        <v>392</v>
      </c>
      <c r="B215" s="60" t="s">
        <v>93</v>
      </c>
      <c r="C215" s="66">
        <v>1030</v>
      </c>
      <c r="D215" s="15">
        <f>D216</f>
        <v>0.7</v>
      </c>
      <c r="E215" s="19"/>
      <c r="F215" s="19"/>
      <c r="G215" s="16">
        <f t="shared" si="10"/>
        <v>0</v>
      </c>
      <c r="H215" s="59" t="e">
        <f t="shared" si="11"/>
        <v>#DIV/0!</v>
      </c>
    </row>
    <row r="216" spans="1:15" ht="24.75" customHeight="1">
      <c r="A216" s="47" t="s">
        <v>393</v>
      </c>
      <c r="B216" s="71" t="s">
        <v>93</v>
      </c>
      <c r="C216" s="82">
        <v>1035</v>
      </c>
      <c r="D216" s="53">
        <f>D217</f>
        <v>0.7</v>
      </c>
      <c r="E216" s="19"/>
      <c r="F216" s="19"/>
      <c r="G216" s="16">
        <f t="shared" si="10"/>
        <v>0</v>
      </c>
      <c r="H216" s="59" t="e">
        <f t="shared" si="11"/>
        <v>#DIV/0!</v>
      </c>
    </row>
    <row r="217" spans="1:15" ht="24.75" customHeight="1">
      <c r="A217" s="56"/>
      <c r="B217" s="18" t="s">
        <v>328</v>
      </c>
      <c r="C217" s="48"/>
      <c r="D217" s="19">
        <v>0.7</v>
      </c>
      <c r="E217" s="19"/>
      <c r="F217" s="19"/>
      <c r="G217" s="16">
        <f t="shared" si="10"/>
        <v>0</v>
      </c>
      <c r="H217" s="59" t="e">
        <f t="shared" si="11"/>
        <v>#DIV/0!</v>
      </c>
    </row>
    <row r="218" spans="1:15" ht="32.25" customHeight="1">
      <c r="A218" s="56" t="s">
        <v>198</v>
      </c>
      <c r="B218" s="60" t="s">
        <v>235</v>
      </c>
      <c r="C218" s="66"/>
      <c r="D218" s="15">
        <f>D220+D238</f>
        <v>14329.1</v>
      </c>
      <c r="E218" s="15">
        <f>E220+E238+E246</f>
        <v>19136.400000000005</v>
      </c>
      <c r="F218" s="15">
        <f>F220+F238</f>
        <v>17072.399999999998</v>
      </c>
      <c r="G218" s="20">
        <f t="shared" si="10"/>
        <v>-2064.0000000000073</v>
      </c>
      <c r="H218" s="20">
        <f t="shared" si="11"/>
        <v>89.214272276917256</v>
      </c>
      <c r="I218" s="21"/>
      <c r="J218" s="98">
        <v>19067.900000000001</v>
      </c>
    </row>
    <row r="219" spans="1:15" ht="27" customHeight="1">
      <c r="A219" s="56"/>
      <c r="B219" s="69" t="s">
        <v>86</v>
      </c>
      <c r="C219" s="48"/>
      <c r="D219" s="19"/>
      <c r="E219" s="19"/>
      <c r="F219" s="19"/>
      <c r="G219" s="20"/>
      <c r="H219" s="20"/>
      <c r="I219" s="21"/>
      <c r="K219" s="29"/>
    </row>
    <row r="220" spans="1:15" s="5" customFormat="1" ht="24.75" customHeight="1">
      <c r="A220" s="56" t="s">
        <v>308</v>
      </c>
      <c r="B220" s="60" t="s">
        <v>90</v>
      </c>
      <c r="C220" s="66">
        <v>1010</v>
      </c>
      <c r="D220" s="15">
        <f>D221+D231</f>
        <v>14196.9</v>
      </c>
      <c r="E220" s="15">
        <f>E221+E231</f>
        <v>18849.700000000004</v>
      </c>
      <c r="F220" s="15">
        <f>F221+F231</f>
        <v>16890.099999999999</v>
      </c>
      <c r="G220" s="20">
        <f t="shared" si="10"/>
        <v>-1959.6000000000058</v>
      </c>
      <c r="H220" s="20">
        <f t="shared" si="11"/>
        <v>89.604078579499912</v>
      </c>
      <c r="I220" s="96"/>
      <c r="J220" s="98"/>
      <c r="N220" s="87"/>
      <c r="O220" s="87"/>
    </row>
    <row r="221" spans="1:15" s="5" customFormat="1" ht="24.75" customHeight="1">
      <c r="A221" s="42" t="s">
        <v>309</v>
      </c>
      <c r="B221" s="62" t="s">
        <v>107</v>
      </c>
      <c r="C221" s="44">
        <v>1011</v>
      </c>
      <c r="D221" s="45">
        <f>SUM(D222:D230)</f>
        <v>6417.5999999999995</v>
      </c>
      <c r="E221" s="45">
        <f>SUM(E222:E230)</f>
        <v>8745.0000000000018</v>
      </c>
      <c r="F221" s="45">
        <f>SUM(F222:F230)</f>
        <v>6740.2999999999993</v>
      </c>
      <c r="G221" s="46">
        <f t="shared" si="10"/>
        <v>-2004.7000000000025</v>
      </c>
      <c r="H221" s="46">
        <f t="shared" si="11"/>
        <v>77.076043453401923</v>
      </c>
      <c r="J221" s="98"/>
      <c r="N221" s="87"/>
      <c r="O221" s="87"/>
    </row>
    <row r="222" spans="1:15" ht="36" customHeight="1">
      <c r="A222" s="52"/>
      <c r="B222" s="18" t="s">
        <v>190</v>
      </c>
      <c r="C222" s="48"/>
      <c r="D222" s="19">
        <v>2</v>
      </c>
      <c r="E222" s="19"/>
      <c r="F222" s="19"/>
      <c r="G222" s="16">
        <f t="shared" si="10"/>
        <v>0</v>
      </c>
      <c r="H222" s="59" t="e">
        <f t="shared" si="11"/>
        <v>#DIV/0!</v>
      </c>
    </row>
    <row r="223" spans="1:15" ht="24.75" customHeight="1">
      <c r="A223" s="52"/>
      <c r="B223" s="18" t="s">
        <v>191</v>
      </c>
      <c r="C223" s="48"/>
      <c r="D223" s="19">
        <v>4751.7</v>
      </c>
      <c r="E223" s="19">
        <v>6747.1</v>
      </c>
      <c r="F223" s="19">
        <f>6708.8-738.6</f>
        <v>5970.2</v>
      </c>
      <c r="G223" s="16">
        <f t="shared" si="10"/>
        <v>-776.90000000000055</v>
      </c>
      <c r="H223" s="16">
        <f t="shared" si="11"/>
        <v>88.485423367076223</v>
      </c>
      <c r="I223" s="57"/>
    </row>
    <row r="224" spans="1:15" ht="24.75" customHeight="1">
      <c r="A224" s="52"/>
      <c r="B224" s="18" t="s">
        <v>322</v>
      </c>
      <c r="C224" s="48"/>
      <c r="D224" s="19">
        <v>146.4</v>
      </c>
      <c r="E224" s="19"/>
      <c r="F224" s="19"/>
      <c r="G224" s="16">
        <f t="shared" si="10"/>
        <v>0</v>
      </c>
      <c r="H224" s="59" t="e">
        <f t="shared" si="11"/>
        <v>#DIV/0!</v>
      </c>
      <c r="I224" s="57"/>
    </row>
    <row r="225" spans="1:15" ht="24.75" customHeight="1">
      <c r="A225" s="52"/>
      <c r="B225" s="18" t="s">
        <v>271</v>
      </c>
      <c r="C225" s="48"/>
      <c r="D225" s="19">
        <v>74.3</v>
      </c>
      <c r="E225" s="19">
        <v>134.6</v>
      </c>
      <c r="F225" s="19">
        <v>95.9</v>
      </c>
      <c r="G225" s="16">
        <f t="shared" si="10"/>
        <v>-38.699999999999989</v>
      </c>
      <c r="H225" s="16">
        <f t="shared" si="11"/>
        <v>71.248142644873695</v>
      </c>
      <c r="I225" s="57"/>
    </row>
    <row r="226" spans="1:15" ht="24.75" customHeight="1">
      <c r="A226" s="52"/>
      <c r="B226" s="18" t="s">
        <v>192</v>
      </c>
      <c r="C226" s="48"/>
      <c r="D226" s="19">
        <v>554.29999999999995</v>
      </c>
      <c r="E226" s="19"/>
      <c r="F226" s="19"/>
      <c r="G226" s="16">
        <f t="shared" si="10"/>
        <v>0</v>
      </c>
      <c r="H226" s="59" t="e">
        <f t="shared" si="11"/>
        <v>#DIV/0!</v>
      </c>
    </row>
    <row r="227" spans="1:15" ht="24.75" customHeight="1">
      <c r="A227" s="52"/>
      <c r="B227" s="18" t="s">
        <v>193</v>
      </c>
      <c r="C227" s="48"/>
      <c r="D227" s="19">
        <f>433.5+195.4</f>
        <v>628.9</v>
      </c>
      <c r="E227" s="19">
        <v>1794.7</v>
      </c>
      <c r="F227" s="19">
        <v>674.2</v>
      </c>
      <c r="G227" s="16">
        <f t="shared" si="10"/>
        <v>-1120.5</v>
      </c>
      <c r="H227" s="16">
        <f t="shared" si="11"/>
        <v>37.566167047417395</v>
      </c>
    </row>
    <row r="228" spans="1:15" ht="24.75" customHeight="1">
      <c r="A228" s="52"/>
      <c r="B228" s="18" t="s">
        <v>491</v>
      </c>
      <c r="C228" s="48"/>
      <c r="D228" s="19"/>
      <c r="E228" s="19">
        <v>68.599999999999994</v>
      </c>
      <c r="F228" s="19"/>
      <c r="G228" s="16">
        <f t="shared" si="10"/>
        <v>-68.599999999999994</v>
      </c>
      <c r="H228" s="16">
        <f t="shared" si="11"/>
        <v>0</v>
      </c>
    </row>
    <row r="229" spans="1:15" ht="27" customHeight="1">
      <c r="A229" s="52"/>
      <c r="B229" s="18" t="s">
        <v>194</v>
      </c>
      <c r="C229" s="48"/>
      <c r="D229" s="19">
        <v>255.4</v>
      </c>
      <c r="E229" s="19"/>
      <c r="F229" s="19"/>
      <c r="G229" s="16">
        <f t="shared" si="10"/>
        <v>0</v>
      </c>
      <c r="H229" s="59" t="e">
        <f t="shared" si="11"/>
        <v>#DIV/0!</v>
      </c>
    </row>
    <row r="230" spans="1:15" ht="24.75" customHeight="1">
      <c r="A230" s="52"/>
      <c r="B230" s="18" t="s">
        <v>195</v>
      </c>
      <c r="C230" s="48"/>
      <c r="D230" s="19">
        <v>4.5999999999999996</v>
      </c>
      <c r="E230" s="19"/>
      <c r="F230" s="19"/>
      <c r="G230" s="16">
        <f t="shared" si="10"/>
        <v>0</v>
      </c>
      <c r="H230" s="59" t="e">
        <f t="shared" si="11"/>
        <v>#DIV/0!</v>
      </c>
    </row>
    <row r="231" spans="1:15" s="5" customFormat="1" ht="24.75" customHeight="1">
      <c r="A231" s="42" t="s">
        <v>310</v>
      </c>
      <c r="B231" s="72" t="s">
        <v>98</v>
      </c>
      <c r="C231" s="73">
        <v>1015</v>
      </c>
      <c r="D231" s="45">
        <f>SUM(D233:D237)</f>
        <v>7779.3</v>
      </c>
      <c r="E231" s="45">
        <f>SUM(E232:E237)</f>
        <v>10104.700000000001</v>
      </c>
      <c r="F231" s="45">
        <f>SUM(F232:F237)</f>
        <v>10149.800000000001</v>
      </c>
      <c r="G231" s="46">
        <f t="shared" si="10"/>
        <v>45.100000000000364</v>
      </c>
      <c r="H231" s="46">
        <f t="shared" si="11"/>
        <v>100.4463269567627</v>
      </c>
      <c r="J231" s="98"/>
      <c r="N231" s="87"/>
      <c r="O231" s="87"/>
    </row>
    <row r="232" spans="1:15" ht="24.75" customHeight="1">
      <c r="A232" s="42"/>
      <c r="B232" s="18" t="s">
        <v>215</v>
      </c>
      <c r="C232" s="73"/>
      <c r="D232" s="45"/>
      <c r="E232" s="19">
        <v>2370</v>
      </c>
      <c r="F232" s="19">
        <v>2370</v>
      </c>
      <c r="G232" s="46">
        <f t="shared" si="10"/>
        <v>0</v>
      </c>
      <c r="H232" s="46">
        <f t="shared" si="11"/>
        <v>100</v>
      </c>
    </row>
    <row r="233" spans="1:15" ht="24.75" customHeight="1">
      <c r="A233" s="56"/>
      <c r="B233" s="24" t="s">
        <v>172</v>
      </c>
      <c r="C233" s="24"/>
      <c r="D233" s="19">
        <v>4414.2</v>
      </c>
      <c r="E233" s="19">
        <v>5638</v>
      </c>
      <c r="F233" s="19">
        <v>5702.2</v>
      </c>
      <c r="G233" s="16">
        <f t="shared" si="10"/>
        <v>64.199999999999818</v>
      </c>
      <c r="H233" s="16">
        <f t="shared" si="11"/>
        <v>101.13870166725789</v>
      </c>
    </row>
    <row r="234" spans="1:15" ht="24.75" customHeight="1">
      <c r="A234" s="56"/>
      <c r="B234" s="24" t="s">
        <v>173</v>
      </c>
      <c r="C234" s="24"/>
      <c r="D234" s="19">
        <v>329</v>
      </c>
      <c r="E234" s="19">
        <v>388.2</v>
      </c>
      <c r="F234" s="19">
        <v>391</v>
      </c>
      <c r="G234" s="16">
        <f t="shared" si="10"/>
        <v>2.8000000000000114</v>
      </c>
      <c r="H234" s="16">
        <f t="shared" si="11"/>
        <v>100.7212776919114</v>
      </c>
    </row>
    <row r="235" spans="1:15" ht="24.75" customHeight="1">
      <c r="A235" s="56"/>
      <c r="B235" s="24" t="s">
        <v>196</v>
      </c>
      <c r="C235" s="24"/>
      <c r="D235" s="19">
        <v>2888.5</v>
      </c>
      <c r="E235" s="19">
        <v>1469.7</v>
      </c>
      <c r="F235" s="19">
        <v>1446</v>
      </c>
      <c r="G235" s="16">
        <f t="shared" si="10"/>
        <v>-23.700000000000045</v>
      </c>
      <c r="H235" s="16">
        <f t="shared" si="11"/>
        <v>98.387426005307205</v>
      </c>
    </row>
    <row r="236" spans="1:15" ht="24.75" customHeight="1">
      <c r="A236" s="56"/>
      <c r="B236" s="24" t="s">
        <v>492</v>
      </c>
      <c r="C236" s="24"/>
      <c r="D236" s="19"/>
      <c r="E236" s="19">
        <v>2.4</v>
      </c>
      <c r="F236" s="19">
        <v>0</v>
      </c>
      <c r="G236" s="16">
        <f t="shared" si="10"/>
        <v>-2.4</v>
      </c>
      <c r="H236" s="16">
        <f t="shared" si="11"/>
        <v>0</v>
      </c>
      <c r="K236" s="29">
        <f>E231+E238</f>
        <v>10328.1</v>
      </c>
    </row>
    <row r="237" spans="1:15" ht="24.75" customHeight="1">
      <c r="A237" s="56"/>
      <c r="B237" s="24" t="s">
        <v>175</v>
      </c>
      <c r="C237" s="24"/>
      <c r="D237" s="19">
        <v>147.6</v>
      </c>
      <c r="E237" s="19">
        <v>236.4</v>
      </c>
      <c r="F237" s="19">
        <v>240.6</v>
      </c>
      <c r="G237" s="16">
        <f t="shared" si="10"/>
        <v>4.1999999999999886</v>
      </c>
      <c r="H237" s="16">
        <f t="shared" si="11"/>
        <v>101.77664974619289</v>
      </c>
    </row>
    <row r="238" spans="1:15" ht="24.75" customHeight="1">
      <c r="A238" s="56" t="s">
        <v>352</v>
      </c>
      <c r="B238" s="65" t="s">
        <v>92</v>
      </c>
      <c r="C238" s="66">
        <v>1020</v>
      </c>
      <c r="D238" s="15">
        <f>D241</f>
        <v>132.20000000000002</v>
      </c>
      <c r="E238" s="15">
        <f>E241+E239</f>
        <v>223.4</v>
      </c>
      <c r="F238" s="15">
        <f>F241+F239</f>
        <v>182.3</v>
      </c>
      <c r="G238" s="20">
        <f t="shared" si="10"/>
        <v>-41.099999999999994</v>
      </c>
      <c r="H238" s="20">
        <f t="shared" si="11"/>
        <v>81.602506714413607</v>
      </c>
      <c r="I238" s="91"/>
      <c r="K238" s="29">
        <f>F231+F241</f>
        <v>10327.200000000001</v>
      </c>
    </row>
    <row r="239" spans="1:15" s="5" customFormat="1" ht="24.75" customHeight="1">
      <c r="A239" s="56" t="s">
        <v>353</v>
      </c>
      <c r="B239" s="62" t="s">
        <v>107</v>
      </c>
      <c r="C239" s="44">
        <v>1021</v>
      </c>
      <c r="D239" s="15"/>
      <c r="E239" s="45">
        <f>E240</f>
        <v>0</v>
      </c>
      <c r="F239" s="45">
        <f>F240</f>
        <v>4.9000000000000004</v>
      </c>
      <c r="G239" s="46">
        <f t="shared" si="10"/>
        <v>4.9000000000000004</v>
      </c>
      <c r="H239" s="177" t="e">
        <f t="shared" si="11"/>
        <v>#DIV/0!</v>
      </c>
      <c r="J239" s="98"/>
      <c r="N239" s="87"/>
      <c r="O239" s="87"/>
    </row>
    <row r="240" spans="1:15" ht="25.5" customHeight="1">
      <c r="A240" s="56"/>
      <c r="B240" s="18" t="s">
        <v>271</v>
      </c>
      <c r="C240" s="48"/>
      <c r="D240" s="15"/>
      <c r="E240" s="19"/>
      <c r="F240" s="19">
        <v>4.9000000000000004</v>
      </c>
      <c r="G240" s="20">
        <f t="shared" si="10"/>
        <v>4.9000000000000004</v>
      </c>
      <c r="H240" s="178" t="e">
        <f t="shared" si="11"/>
        <v>#DIV/0!</v>
      </c>
    </row>
    <row r="241" spans="1:15" ht="24.75" customHeight="1">
      <c r="A241" s="42" t="s">
        <v>354</v>
      </c>
      <c r="B241" s="62" t="s">
        <v>177</v>
      </c>
      <c r="C241" s="44">
        <v>1025</v>
      </c>
      <c r="D241" s="45">
        <f>SUM(D242:D245)</f>
        <v>132.20000000000002</v>
      </c>
      <c r="E241" s="45">
        <f>SUM(E242:E245)</f>
        <v>223.4</v>
      </c>
      <c r="F241" s="45">
        <f>SUM(F242:F245)</f>
        <v>177.4</v>
      </c>
      <c r="G241" s="46">
        <f t="shared" si="10"/>
        <v>-46</v>
      </c>
      <c r="H241" s="46">
        <f t="shared" si="11"/>
        <v>79.409131602506704</v>
      </c>
    </row>
    <row r="242" spans="1:15" ht="24.75" customHeight="1">
      <c r="A242" s="79"/>
      <c r="B242" s="27" t="s">
        <v>172</v>
      </c>
      <c r="C242" s="48"/>
      <c r="D242" s="19">
        <v>64.7</v>
      </c>
      <c r="E242" s="19">
        <v>144.69999999999999</v>
      </c>
      <c r="F242" s="19">
        <v>79.8</v>
      </c>
      <c r="G242" s="16">
        <f t="shared" si="10"/>
        <v>-64.899999999999991</v>
      </c>
      <c r="H242" s="16">
        <f t="shared" si="11"/>
        <v>55.148583275742922</v>
      </c>
    </row>
    <row r="243" spans="1:15" ht="24.75" customHeight="1">
      <c r="A243" s="79"/>
      <c r="B243" s="27" t="s">
        <v>173</v>
      </c>
      <c r="C243" s="48"/>
      <c r="D243" s="19">
        <v>6.5</v>
      </c>
      <c r="E243" s="19">
        <v>10.3</v>
      </c>
      <c r="F243" s="19">
        <v>7.4</v>
      </c>
      <c r="G243" s="16">
        <f t="shared" si="10"/>
        <v>-2.9000000000000004</v>
      </c>
      <c r="H243" s="16">
        <f t="shared" si="11"/>
        <v>71.844660194174764</v>
      </c>
    </row>
    <row r="244" spans="1:15" ht="24.75" customHeight="1">
      <c r="A244" s="79"/>
      <c r="B244" s="27" t="s">
        <v>174</v>
      </c>
      <c r="C244" s="48"/>
      <c r="D244" s="19">
        <v>58.2</v>
      </c>
      <c r="E244" s="19">
        <v>63.1</v>
      </c>
      <c r="F244" s="19">
        <v>86.6</v>
      </c>
      <c r="G244" s="16">
        <f t="shared" si="10"/>
        <v>23.499999999999993</v>
      </c>
      <c r="H244" s="16">
        <f t="shared" si="11"/>
        <v>137.24247226624405</v>
      </c>
    </row>
    <row r="245" spans="1:15" ht="24.75" customHeight="1">
      <c r="A245" s="79"/>
      <c r="B245" s="27" t="s">
        <v>197</v>
      </c>
      <c r="C245" s="48"/>
      <c r="D245" s="19">
        <v>2.8</v>
      </c>
      <c r="E245" s="19">
        <v>5.3</v>
      </c>
      <c r="F245" s="19">
        <v>3.6</v>
      </c>
      <c r="G245" s="16">
        <f t="shared" si="10"/>
        <v>-1.6999999999999997</v>
      </c>
      <c r="H245" s="16">
        <f t="shared" si="11"/>
        <v>67.924528301886795</v>
      </c>
    </row>
    <row r="246" spans="1:15" s="5" customFormat="1" ht="24.75" customHeight="1">
      <c r="A246" s="76" t="s">
        <v>494</v>
      </c>
      <c r="B246" s="80" t="s">
        <v>396</v>
      </c>
      <c r="C246" s="66">
        <v>1030</v>
      </c>
      <c r="D246" s="15"/>
      <c r="E246" s="15">
        <f>E247</f>
        <v>63.3</v>
      </c>
      <c r="F246" s="15"/>
      <c r="G246" s="20">
        <f t="shared" si="10"/>
        <v>-63.3</v>
      </c>
      <c r="H246" s="20">
        <f t="shared" si="11"/>
        <v>0</v>
      </c>
      <c r="J246" s="98"/>
      <c r="N246" s="87"/>
      <c r="O246" s="87"/>
    </row>
    <row r="247" spans="1:15" s="94" customFormat="1" ht="24.75" customHeight="1">
      <c r="A247" s="76" t="s">
        <v>495</v>
      </c>
      <c r="B247" s="74" t="s">
        <v>107</v>
      </c>
      <c r="C247" s="44">
        <v>1031</v>
      </c>
      <c r="D247" s="45"/>
      <c r="E247" s="45">
        <f>E248</f>
        <v>63.3</v>
      </c>
      <c r="F247" s="45"/>
      <c r="G247" s="46">
        <f t="shared" si="10"/>
        <v>-63.3</v>
      </c>
      <c r="H247" s="46">
        <f t="shared" si="11"/>
        <v>0</v>
      </c>
      <c r="J247" s="99"/>
      <c r="N247" s="97"/>
      <c r="O247" s="97"/>
    </row>
    <row r="248" spans="1:15" ht="24.75" customHeight="1">
      <c r="A248" s="79"/>
      <c r="B248" s="27" t="s">
        <v>493</v>
      </c>
      <c r="C248" s="48"/>
      <c r="D248" s="19"/>
      <c r="E248" s="19">
        <v>63.3</v>
      </c>
      <c r="F248" s="19"/>
      <c r="G248" s="16">
        <f t="shared" si="10"/>
        <v>-63.3</v>
      </c>
      <c r="H248" s="16">
        <f t="shared" si="11"/>
        <v>0</v>
      </c>
    </row>
    <row r="249" spans="1:15" ht="30.75" customHeight="1">
      <c r="A249" s="41" t="s">
        <v>199</v>
      </c>
      <c r="B249" s="80" t="s">
        <v>247</v>
      </c>
      <c r="C249" s="66"/>
      <c r="D249" s="15">
        <f>D251</f>
        <v>0.8</v>
      </c>
      <c r="E249" s="15">
        <f>E251</f>
        <v>0</v>
      </c>
      <c r="F249" s="15">
        <f>F251</f>
        <v>2734.1</v>
      </c>
      <c r="G249" s="20">
        <f t="shared" si="10"/>
        <v>2734.1</v>
      </c>
      <c r="H249" s="178" t="e">
        <f t="shared" si="11"/>
        <v>#DIV/0!</v>
      </c>
    </row>
    <row r="250" spans="1:15" ht="24.75" customHeight="1">
      <c r="A250" s="79"/>
      <c r="B250" s="81" t="s">
        <v>86</v>
      </c>
      <c r="C250" s="48"/>
      <c r="D250" s="19"/>
      <c r="E250" s="19"/>
      <c r="F250" s="19"/>
      <c r="G250" s="16"/>
      <c r="H250" s="16"/>
    </row>
    <row r="251" spans="1:15" ht="27.75" customHeight="1">
      <c r="A251" s="41" t="s">
        <v>311</v>
      </c>
      <c r="B251" s="80" t="s">
        <v>90</v>
      </c>
      <c r="C251" s="66">
        <v>1010</v>
      </c>
      <c r="D251" s="15">
        <f>D252</f>
        <v>0.8</v>
      </c>
      <c r="E251" s="15"/>
      <c r="F251" s="15">
        <f>F252</f>
        <v>2734.1</v>
      </c>
      <c r="G251" s="20">
        <f t="shared" si="10"/>
        <v>2734.1</v>
      </c>
      <c r="H251" s="178" t="e">
        <f t="shared" si="11"/>
        <v>#DIV/0!</v>
      </c>
      <c r="I251" s="21"/>
    </row>
    <row r="252" spans="1:15" ht="27" customHeight="1">
      <c r="A252" s="76" t="s">
        <v>312</v>
      </c>
      <c r="B252" s="74" t="s">
        <v>107</v>
      </c>
      <c r="C252" s="44">
        <v>1011</v>
      </c>
      <c r="D252" s="45">
        <f>SUM(D256:D257)</f>
        <v>0.8</v>
      </c>
      <c r="E252" s="45"/>
      <c r="F252" s="45">
        <f>SUM(F253:F257)</f>
        <v>2734.1</v>
      </c>
      <c r="G252" s="46">
        <f t="shared" si="10"/>
        <v>2734.1</v>
      </c>
      <c r="H252" s="177" t="e">
        <f t="shared" si="11"/>
        <v>#DIV/0!</v>
      </c>
    </row>
    <row r="253" spans="1:15" ht="27" customHeight="1">
      <c r="A253" s="76"/>
      <c r="B253" s="27" t="s">
        <v>322</v>
      </c>
      <c r="C253" s="44"/>
      <c r="D253" s="45"/>
      <c r="E253" s="45"/>
      <c r="F253" s="19">
        <v>183</v>
      </c>
      <c r="G253" s="46"/>
      <c r="H253" s="46"/>
    </row>
    <row r="254" spans="1:15" ht="27" customHeight="1">
      <c r="A254" s="76"/>
      <c r="B254" s="22" t="s">
        <v>192</v>
      </c>
      <c r="C254" s="44"/>
      <c r="D254" s="45"/>
      <c r="E254" s="45"/>
      <c r="F254" s="19">
        <v>1608.2</v>
      </c>
      <c r="G254" s="46"/>
      <c r="H254" s="46"/>
    </row>
    <row r="255" spans="1:15" ht="27" customHeight="1">
      <c r="A255" s="76"/>
      <c r="B255" s="22" t="s">
        <v>194</v>
      </c>
      <c r="C255" s="44"/>
      <c r="D255" s="45"/>
      <c r="E255" s="45"/>
      <c r="F255" s="19">
        <v>204.3</v>
      </c>
      <c r="G255" s="46"/>
      <c r="H255" s="46"/>
    </row>
    <row r="256" spans="1:15" ht="36" customHeight="1">
      <c r="A256" s="76"/>
      <c r="B256" s="18" t="s">
        <v>190</v>
      </c>
      <c r="C256" s="44"/>
      <c r="D256" s="19">
        <v>0.8</v>
      </c>
      <c r="E256" s="45"/>
      <c r="F256" s="19"/>
      <c r="G256" s="46">
        <f t="shared" si="10"/>
        <v>0</v>
      </c>
      <c r="H256" s="177" t="e">
        <f t="shared" si="11"/>
        <v>#DIV/0!</v>
      </c>
    </row>
    <row r="257" spans="1:12" ht="29.25" customHeight="1">
      <c r="A257" s="79"/>
      <c r="B257" s="18" t="s">
        <v>191</v>
      </c>
      <c r="C257" s="48"/>
      <c r="D257" s="19"/>
      <c r="E257" s="19"/>
      <c r="F257" s="19">
        <v>738.6</v>
      </c>
      <c r="G257" s="20">
        <f t="shared" si="10"/>
        <v>738.6</v>
      </c>
      <c r="H257" s="59" t="e">
        <f t="shared" si="11"/>
        <v>#DIV/0!</v>
      </c>
    </row>
    <row r="258" spans="1:12" ht="24.75" customHeight="1">
      <c r="A258" s="41" t="s">
        <v>324</v>
      </c>
      <c r="B258" s="60" t="s">
        <v>200</v>
      </c>
      <c r="C258" s="58"/>
      <c r="D258" s="15">
        <f>D260</f>
        <v>81.900000000000006</v>
      </c>
      <c r="E258" s="15">
        <f>E260</f>
        <v>108</v>
      </c>
      <c r="F258" s="15">
        <f>F260</f>
        <v>108.9</v>
      </c>
      <c r="G258" s="20">
        <f t="shared" si="10"/>
        <v>0.90000000000000568</v>
      </c>
      <c r="H258" s="20">
        <f t="shared" si="11"/>
        <v>100.83333333333333</v>
      </c>
    </row>
    <row r="259" spans="1:12" ht="24.75" customHeight="1">
      <c r="A259" s="79"/>
      <c r="B259" s="40" t="s">
        <v>86</v>
      </c>
      <c r="C259" s="82"/>
      <c r="D259" s="19"/>
      <c r="E259" s="19"/>
      <c r="F259" s="19"/>
      <c r="G259" s="20"/>
      <c r="H259" s="20"/>
    </row>
    <row r="260" spans="1:12" ht="24.75" customHeight="1">
      <c r="A260" s="41" t="s">
        <v>325</v>
      </c>
      <c r="B260" s="68" t="s">
        <v>12</v>
      </c>
      <c r="C260" s="66">
        <v>1030</v>
      </c>
      <c r="D260" s="15">
        <f>D261</f>
        <v>81.900000000000006</v>
      </c>
      <c r="E260" s="15">
        <f>E261</f>
        <v>108</v>
      </c>
      <c r="F260" s="15">
        <f>F261</f>
        <v>108.9</v>
      </c>
      <c r="G260" s="20">
        <f t="shared" si="10"/>
        <v>0.90000000000000568</v>
      </c>
      <c r="H260" s="20">
        <f t="shared" si="11"/>
        <v>100.83333333333333</v>
      </c>
    </row>
    <row r="261" spans="1:12" ht="24.75" customHeight="1">
      <c r="A261" s="76" t="s">
        <v>326</v>
      </c>
      <c r="B261" s="83" t="s">
        <v>93</v>
      </c>
      <c r="C261" s="44">
        <v>1035</v>
      </c>
      <c r="D261" s="45">
        <f>SUM(D262:D264)</f>
        <v>81.900000000000006</v>
      </c>
      <c r="E261" s="45">
        <f>SUM(E262:E264)</f>
        <v>108</v>
      </c>
      <c r="F261" s="45">
        <f>SUM(F262:F264)</f>
        <v>108.9</v>
      </c>
      <c r="G261" s="46">
        <f t="shared" si="10"/>
        <v>0.90000000000000568</v>
      </c>
      <c r="H261" s="46">
        <f t="shared" si="11"/>
        <v>100.83333333333333</v>
      </c>
    </row>
    <row r="262" spans="1:12" ht="24.75" customHeight="1">
      <c r="A262" s="78"/>
      <c r="B262" s="18" t="s">
        <v>172</v>
      </c>
      <c r="C262" s="48"/>
      <c r="D262" s="19">
        <v>8.1</v>
      </c>
      <c r="E262" s="19">
        <v>20</v>
      </c>
      <c r="F262" s="19">
        <v>10.199999999999999</v>
      </c>
      <c r="G262" s="20">
        <f t="shared" si="10"/>
        <v>-9.8000000000000007</v>
      </c>
      <c r="H262" s="20">
        <f t="shared" si="11"/>
        <v>51</v>
      </c>
    </row>
    <row r="263" spans="1:12" ht="24.75" customHeight="1">
      <c r="A263" s="78"/>
      <c r="B263" s="18" t="s">
        <v>173</v>
      </c>
      <c r="C263" s="48"/>
      <c r="D263" s="19">
        <v>4.0999999999999996</v>
      </c>
      <c r="E263" s="19">
        <v>8</v>
      </c>
      <c r="F263" s="19">
        <v>4.2</v>
      </c>
      <c r="G263" s="20">
        <f t="shared" si="10"/>
        <v>-3.8</v>
      </c>
      <c r="H263" s="20">
        <f t="shared" si="11"/>
        <v>52.5</v>
      </c>
    </row>
    <row r="264" spans="1:12" ht="26.25" customHeight="1">
      <c r="A264" s="41"/>
      <c r="B264" s="18" t="s">
        <v>174</v>
      </c>
      <c r="C264" s="48"/>
      <c r="D264" s="19">
        <v>69.7</v>
      </c>
      <c r="E264" s="19">
        <v>80</v>
      </c>
      <c r="F264" s="19">
        <v>94.5</v>
      </c>
      <c r="G264" s="20">
        <f t="shared" si="10"/>
        <v>14.5</v>
      </c>
      <c r="H264" s="20">
        <f t="shared" si="11"/>
        <v>118.12499999999999</v>
      </c>
    </row>
    <row r="265" spans="1:12" ht="26.25" customHeight="1">
      <c r="A265" s="41" t="s">
        <v>461</v>
      </c>
      <c r="B265" s="60" t="s">
        <v>394</v>
      </c>
      <c r="C265" s="48"/>
      <c r="D265" s="15">
        <f>D267</f>
        <v>6.5</v>
      </c>
      <c r="E265" s="15">
        <f>E267</f>
        <v>0</v>
      </c>
      <c r="F265" s="15">
        <f>F267</f>
        <v>0</v>
      </c>
      <c r="G265" s="20">
        <f t="shared" si="10"/>
        <v>0</v>
      </c>
      <c r="H265" s="178" t="e">
        <f t="shared" si="11"/>
        <v>#DIV/0!</v>
      </c>
    </row>
    <row r="266" spans="1:12" ht="26.25" customHeight="1">
      <c r="A266" s="41"/>
      <c r="B266" s="60" t="s">
        <v>86</v>
      </c>
      <c r="C266" s="48"/>
      <c r="D266" s="19"/>
      <c r="E266" s="19"/>
      <c r="F266" s="19"/>
      <c r="G266" s="20"/>
      <c r="H266" s="178"/>
    </row>
    <row r="267" spans="1:12" ht="26.25" customHeight="1">
      <c r="A267" s="41" t="s">
        <v>355</v>
      </c>
      <c r="B267" s="68" t="s">
        <v>12</v>
      </c>
      <c r="C267" s="66">
        <v>1030</v>
      </c>
      <c r="D267" s="15">
        <f>D268</f>
        <v>6.5</v>
      </c>
      <c r="E267" s="15">
        <f>E268</f>
        <v>0</v>
      </c>
      <c r="F267" s="15">
        <f>F268</f>
        <v>0</v>
      </c>
      <c r="G267" s="20">
        <f t="shared" si="10"/>
        <v>0</v>
      </c>
      <c r="H267" s="178" t="e">
        <f t="shared" si="11"/>
        <v>#DIV/0!</v>
      </c>
    </row>
    <row r="268" spans="1:12" ht="26.25" customHeight="1">
      <c r="A268" s="41" t="s">
        <v>356</v>
      </c>
      <c r="B268" s="83" t="s">
        <v>93</v>
      </c>
      <c r="C268" s="44">
        <v>1035</v>
      </c>
      <c r="D268" s="45">
        <f>SUM(D269:D271)</f>
        <v>6.5</v>
      </c>
      <c r="E268" s="53">
        <f>SUM(E269:E271)</f>
        <v>0</v>
      </c>
      <c r="F268" s="53"/>
      <c r="G268" s="20">
        <f t="shared" si="10"/>
        <v>0</v>
      </c>
      <c r="H268" s="178" t="e">
        <f t="shared" si="11"/>
        <v>#DIV/0!</v>
      </c>
    </row>
    <row r="269" spans="1:12" ht="26.25" customHeight="1">
      <c r="A269" s="41"/>
      <c r="B269" s="18" t="s">
        <v>172</v>
      </c>
      <c r="C269" s="48"/>
      <c r="D269" s="19">
        <v>2</v>
      </c>
      <c r="E269" s="19"/>
      <c r="F269" s="19"/>
      <c r="G269" s="20">
        <f t="shared" si="10"/>
        <v>0</v>
      </c>
      <c r="H269" s="178" t="e">
        <f t="shared" si="11"/>
        <v>#DIV/0!</v>
      </c>
    </row>
    <row r="270" spans="1:12" ht="26.25" customHeight="1">
      <c r="A270" s="41"/>
      <c r="B270" s="18" t="s">
        <v>173</v>
      </c>
      <c r="C270" s="48"/>
      <c r="D270" s="19">
        <v>0.5</v>
      </c>
      <c r="E270" s="19"/>
      <c r="F270" s="19"/>
      <c r="G270" s="20">
        <f t="shared" ref="G270:G333" si="12">F270-E270</f>
        <v>0</v>
      </c>
      <c r="H270" s="178" t="e">
        <f t="shared" ref="H270:H333" si="13">(F270/E270)*100</f>
        <v>#DIV/0!</v>
      </c>
    </row>
    <row r="271" spans="1:12" ht="26.25" customHeight="1">
      <c r="A271" s="41"/>
      <c r="B271" s="18" t="s">
        <v>174</v>
      </c>
      <c r="C271" s="48"/>
      <c r="D271" s="19">
        <v>4</v>
      </c>
      <c r="E271" s="19"/>
      <c r="F271" s="19"/>
      <c r="G271" s="20">
        <f t="shared" si="12"/>
        <v>0</v>
      </c>
      <c r="H271" s="178" t="e">
        <f t="shared" si="13"/>
        <v>#DIV/0!</v>
      </c>
    </row>
    <row r="272" spans="1:12" ht="33" customHeight="1">
      <c r="A272" s="41" t="s">
        <v>223</v>
      </c>
      <c r="B272" s="65" t="s">
        <v>201</v>
      </c>
      <c r="C272" s="191"/>
      <c r="D272" s="15">
        <f>D274+D279</f>
        <v>49</v>
      </c>
      <c r="E272" s="15">
        <f>E274+E279</f>
        <v>50</v>
      </c>
      <c r="F272" s="15">
        <f>F274+F279</f>
        <v>281.39999999999998</v>
      </c>
      <c r="G272" s="20">
        <f t="shared" si="12"/>
        <v>231.39999999999998</v>
      </c>
      <c r="H272" s="20">
        <f t="shared" si="13"/>
        <v>562.79999999999995</v>
      </c>
      <c r="K272" s="2"/>
      <c r="L272" s="5"/>
    </row>
    <row r="273" spans="1:9" ht="27" customHeight="1">
      <c r="A273" s="41"/>
      <c r="B273" s="40" t="s">
        <v>86</v>
      </c>
      <c r="C273" s="191"/>
      <c r="D273" s="19"/>
      <c r="E273" s="19"/>
      <c r="F273" s="19"/>
      <c r="G273" s="20"/>
      <c r="H273" s="20"/>
      <c r="I273" s="21"/>
    </row>
    <row r="274" spans="1:9" ht="32.25" customHeight="1">
      <c r="A274" s="41" t="s">
        <v>357</v>
      </c>
      <c r="B274" s="60" t="s">
        <v>90</v>
      </c>
      <c r="C274" s="191">
        <v>1010</v>
      </c>
      <c r="D274" s="15">
        <f>D275</f>
        <v>46</v>
      </c>
      <c r="E274" s="15">
        <f>E275</f>
        <v>44</v>
      </c>
      <c r="F274" s="15">
        <f>F275</f>
        <v>261.7</v>
      </c>
      <c r="G274" s="20">
        <f t="shared" si="12"/>
        <v>217.7</v>
      </c>
      <c r="H274" s="20">
        <f t="shared" si="13"/>
        <v>594.77272727272725</v>
      </c>
      <c r="I274" s="21"/>
    </row>
    <row r="275" spans="1:9" ht="28.5" customHeight="1">
      <c r="A275" s="76" t="s">
        <v>358</v>
      </c>
      <c r="B275" s="43" t="s">
        <v>98</v>
      </c>
      <c r="C275" s="73">
        <v>1015</v>
      </c>
      <c r="D275" s="45">
        <f>D276</f>
        <v>46</v>
      </c>
      <c r="E275" s="45">
        <f>E276</f>
        <v>44</v>
      </c>
      <c r="F275" s="45">
        <f>SUM(F276:F278)</f>
        <v>261.7</v>
      </c>
      <c r="G275" s="46">
        <f t="shared" si="12"/>
        <v>217.7</v>
      </c>
      <c r="H275" s="46">
        <f t="shared" si="13"/>
        <v>594.77272727272725</v>
      </c>
    </row>
    <row r="276" spans="1:9" ht="24.75" customHeight="1">
      <c r="A276" s="78"/>
      <c r="B276" s="18" t="s">
        <v>202</v>
      </c>
      <c r="C276" s="12"/>
      <c r="D276" s="19">
        <v>46</v>
      </c>
      <c r="E276" s="19">
        <v>44</v>
      </c>
      <c r="F276" s="19">
        <f>110.5</f>
        <v>110.5</v>
      </c>
      <c r="G276" s="20">
        <f t="shared" si="12"/>
        <v>66.5</v>
      </c>
      <c r="H276" s="20">
        <f t="shared" si="13"/>
        <v>251.13636363636363</v>
      </c>
    </row>
    <row r="277" spans="1:9" ht="24.75" customHeight="1">
      <c r="A277" s="78"/>
      <c r="B277" s="18" t="s">
        <v>215</v>
      </c>
      <c r="C277" s="12"/>
      <c r="D277" s="19"/>
      <c r="E277" s="19"/>
      <c r="F277" s="19">
        <f>150</f>
        <v>150</v>
      </c>
      <c r="G277" s="20">
        <f t="shared" si="12"/>
        <v>150</v>
      </c>
      <c r="H277" s="59" t="e">
        <f t="shared" si="13"/>
        <v>#DIV/0!</v>
      </c>
    </row>
    <row r="278" spans="1:9" ht="24.75" customHeight="1">
      <c r="A278" s="78"/>
      <c r="B278" s="22" t="s">
        <v>448</v>
      </c>
      <c r="C278" s="12"/>
      <c r="D278" s="19"/>
      <c r="E278" s="19"/>
      <c r="F278" s="19">
        <v>1.2</v>
      </c>
      <c r="G278" s="20">
        <f t="shared" si="12"/>
        <v>1.2</v>
      </c>
      <c r="H278" s="59" t="e">
        <f t="shared" si="13"/>
        <v>#DIV/0!</v>
      </c>
    </row>
    <row r="279" spans="1:9" ht="28.5" customHeight="1">
      <c r="A279" s="41" t="s">
        <v>465</v>
      </c>
      <c r="B279" s="192" t="s">
        <v>92</v>
      </c>
      <c r="C279" s="191">
        <v>1020</v>
      </c>
      <c r="D279" s="15">
        <f t="shared" ref="D279:F280" si="14">D280</f>
        <v>3</v>
      </c>
      <c r="E279" s="15">
        <f t="shared" si="14"/>
        <v>6</v>
      </c>
      <c r="F279" s="15">
        <f t="shared" si="14"/>
        <v>19.7</v>
      </c>
      <c r="G279" s="20">
        <f t="shared" si="12"/>
        <v>13.7</v>
      </c>
      <c r="H279" s="20">
        <f t="shared" si="13"/>
        <v>328.33333333333331</v>
      </c>
    </row>
    <row r="280" spans="1:9" ht="30" customHeight="1">
      <c r="A280" s="76" t="s">
        <v>464</v>
      </c>
      <c r="B280" s="62" t="s">
        <v>177</v>
      </c>
      <c r="C280" s="44">
        <v>1025</v>
      </c>
      <c r="D280" s="45">
        <f t="shared" si="14"/>
        <v>3</v>
      </c>
      <c r="E280" s="45">
        <f t="shared" si="14"/>
        <v>6</v>
      </c>
      <c r="F280" s="45">
        <f>SUM(F281:F282)</f>
        <v>19.7</v>
      </c>
      <c r="G280" s="46">
        <f t="shared" si="12"/>
        <v>13.7</v>
      </c>
      <c r="H280" s="46">
        <f t="shared" si="13"/>
        <v>328.33333333333331</v>
      </c>
    </row>
    <row r="281" spans="1:9" ht="24.75" customHeight="1">
      <c r="A281" s="41"/>
      <c r="B281" s="22" t="s">
        <v>203</v>
      </c>
      <c r="C281" s="48"/>
      <c r="D281" s="19">
        <v>3</v>
      </c>
      <c r="E281" s="19">
        <v>6</v>
      </c>
      <c r="F281" s="19">
        <v>7.2</v>
      </c>
      <c r="G281" s="20">
        <f t="shared" si="12"/>
        <v>1.2000000000000002</v>
      </c>
      <c r="H281" s="59">
        <f t="shared" si="13"/>
        <v>120</v>
      </c>
    </row>
    <row r="282" spans="1:9" ht="24.75" customHeight="1">
      <c r="A282" s="41"/>
      <c r="B282" s="22" t="s">
        <v>448</v>
      </c>
      <c r="C282" s="48"/>
      <c r="D282" s="19"/>
      <c r="E282" s="19"/>
      <c r="F282" s="19">
        <v>12.5</v>
      </c>
      <c r="G282" s="20">
        <f t="shared" si="12"/>
        <v>12.5</v>
      </c>
      <c r="H282" s="59" t="e">
        <f t="shared" si="13"/>
        <v>#DIV/0!</v>
      </c>
    </row>
    <row r="283" spans="1:9" ht="30" customHeight="1">
      <c r="A283" s="41" t="s">
        <v>251</v>
      </c>
      <c r="B283" s="65" t="s">
        <v>395</v>
      </c>
      <c r="C283" s="66"/>
      <c r="D283" s="15">
        <f>D288</f>
        <v>19.7</v>
      </c>
      <c r="E283" s="15">
        <f>E285</f>
        <v>35.200000000000003</v>
      </c>
      <c r="F283" s="15"/>
      <c r="G283" s="20">
        <f t="shared" si="12"/>
        <v>-35.200000000000003</v>
      </c>
      <c r="H283" s="20">
        <f t="shared" si="13"/>
        <v>0</v>
      </c>
    </row>
    <row r="284" spans="1:9" ht="28.5" customHeight="1">
      <c r="A284" s="41"/>
      <c r="B284" s="22" t="s">
        <v>86</v>
      </c>
      <c r="C284" s="48"/>
      <c r="D284" s="134"/>
      <c r="E284" s="19"/>
      <c r="F284" s="19"/>
      <c r="G284" s="16">
        <f t="shared" si="12"/>
        <v>0</v>
      </c>
      <c r="H284" s="59" t="e">
        <f t="shared" si="13"/>
        <v>#DIV/0!</v>
      </c>
    </row>
    <row r="285" spans="1:9" ht="24.75" customHeight="1">
      <c r="A285" s="41" t="s">
        <v>462</v>
      </c>
      <c r="B285" s="65" t="s">
        <v>90</v>
      </c>
      <c r="C285" s="66">
        <v>1010</v>
      </c>
      <c r="D285" s="19"/>
      <c r="E285" s="15">
        <f>E286</f>
        <v>35.200000000000003</v>
      </c>
      <c r="F285" s="19"/>
      <c r="G285" s="16">
        <f t="shared" si="12"/>
        <v>-35.200000000000003</v>
      </c>
      <c r="H285" s="16">
        <f t="shared" si="13"/>
        <v>0</v>
      </c>
    </row>
    <row r="286" spans="1:9" ht="24.75" customHeight="1">
      <c r="A286" s="41" t="s">
        <v>463</v>
      </c>
      <c r="B286" s="62" t="s">
        <v>98</v>
      </c>
      <c r="C286" s="44">
        <v>1015</v>
      </c>
      <c r="D286" s="19"/>
      <c r="E286" s="45">
        <f>E287</f>
        <v>35.200000000000003</v>
      </c>
      <c r="F286" s="19"/>
      <c r="G286" s="16">
        <f t="shared" si="12"/>
        <v>-35.200000000000003</v>
      </c>
      <c r="H286" s="16">
        <f t="shared" si="13"/>
        <v>0</v>
      </c>
    </row>
    <row r="287" spans="1:9" ht="24.75" customHeight="1">
      <c r="A287" s="41"/>
      <c r="B287" s="22" t="s">
        <v>168</v>
      </c>
      <c r="C287" s="48"/>
      <c r="D287" s="19"/>
      <c r="E287" s="19">
        <v>35.200000000000003</v>
      </c>
      <c r="F287" s="19"/>
      <c r="G287" s="16">
        <f t="shared" si="12"/>
        <v>-35.200000000000003</v>
      </c>
      <c r="H287" s="16">
        <f t="shared" si="13"/>
        <v>0</v>
      </c>
    </row>
    <row r="288" spans="1:9" ht="24.75" customHeight="1">
      <c r="A288" s="41" t="s">
        <v>477</v>
      </c>
      <c r="B288" s="65" t="s">
        <v>396</v>
      </c>
      <c r="C288" s="66">
        <v>1030</v>
      </c>
      <c r="D288" s="15">
        <f>D289</f>
        <v>19.7</v>
      </c>
      <c r="E288" s="15"/>
      <c r="F288" s="15"/>
      <c r="G288" s="20">
        <f t="shared" si="12"/>
        <v>0</v>
      </c>
      <c r="H288" s="178" t="e">
        <f t="shared" si="13"/>
        <v>#DIV/0!</v>
      </c>
    </row>
    <row r="289" spans="1:15" ht="24.75" customHeight="1">
      <c r="A289" s="76" t="s">
        <v>478</v>
      </c>
      <c r="B289" s="62" t="s">
        <v>396</v>
      </c>
      <c r="C289" s="44">
        <v>1035</v>
      </c>
      <c r="D289" s="45">
        <f>D290</f>
        <v>19.7</v>
      </c>
      <c r="E289" s="45"/>
      <c r="F289" s="45"/>
      <c r="G289" s="46">
        <f t="shared" si="12"/>
        <v>0</v>
      </c>
      <c r="H289" s="177" t="e">
        <f t="shared" si="13"/>
        <v>#DIV/0!</v>
      </c>
    </row>
    <row r="290" spans="1:15" ht="24.75" customHeight="1">
      <c r="A290" s="41"/>
      <c r="B290" s="22" t="s">
        <v>397</v>
      </c>
      <c r="C290" s="48"/>
      <c r="D290" s="19">
        <v>19.7</v>
      </c>
      <c r="E290" s="19"/>
      <c r="F290" s="19"/>
      <c r="G290" s="16">
        <f t="shared" si="12"/>
        <v>0</v>
      </c>
      <c r="H290" s="59" t="e">
        <f t="shared" si="13"/>
        <v>#DIV/0!</v>
      </c>
    </row>
    <row r="291" spans="1:15" ht="26.25" customHeight="1">
      <c r="A291" s="41" t="s">
        <v>252</v>
      </c>
      <c r="B291" s="192" t="s">
        <v>220</v>
      </c>
      <c r="C291" s="189"/>
      <c r="D291" s="15">
        <f>D293+D312</f>
        <v>3173.7</v>
      </c>
      <c r="E291" s="15">
        <f>E293</f>
        <v>0</v>
      </c>
      <c r="F291" s="15">
        <f>F293+F312</f>
        <v>8324.7000000000007</v>
      </c>
      <c r="G291" s="20">
        <f t="shared" si="12"/>
        <v>8324.7000000000007</v>
      </c>
      <c r="H291" s="59" t="e">
        <f t="shared" si="13"/>
        <v>#DIV/0!</v>
      </c>
      <c r="I291" s="21"/>
    </row>
    <row r="292" spans="1:15" ht="24.75" customHeight="1">
      <c r="A292" s="78"/>
      <c r="B292" s="40" t="s">
        <v>86</v>
      </c>
      <c r="C292" s="12"/>
      <c r="D292" s="19"/>
      <c r="E292" s="19">
        <f>E294</f>
        <v>0</v>
      </c>
      <c r="F292" s="19"/>
      <c r="G292" s="20"/>
      <c r="H292" s="178"/>
    </row>
    <row r="293" spans="1:15" ht="24.75" customHeight="1">
      <c r="A293" s="41" t="s">
        <v>320</v>
      </c>
      <c r="B293" s="192" t="s">
        <v>90</v>
      </c>
      <c r="C293" s="191">
        <v>1010</v>
      </c>
      <c r="D293" s="15">
        <f>D294+D300</f>
        <v>3083.5</v>
      </c>
      <c r="E293" s="15"/>
      <c r="F293" s="15">
        <f>F294+F300</f>
        <v>8312.3000000000011</v>
      </c>
      <c r="G293" s="20">
        <f t="shared" si="12"/>
        <v>8312.3000000000011</v>
      </c>
      <c r="H293" s="178" t="e">
        <f t="shared" si="13"/>
        <v>#DIV/0!</v>
      </c>
    </row>
    <row r="294" spans="1:15" s="94" customFormat="1" ht="24.75" customHeight="1">
      <c r="A294" s="76" t="s">
        <v>321</v>
      </c>
      <c r="B294" s="62" t="s">
        <v>107</v>
      </c>
      <c r="C294" s="44">
        <v>1011</v>
      </c>
      <c r="D294" s="45">
        <f>SUM(D295:D299)</f>
        <v>2689.4</v>
      </c>
      <c r="E294" s="45"/>
      <c r="F294" s="45">
        <f>SUM(F295:F299)</f>
        <v>7682.0000000000009</v>
      </c>
      <c r="G294" s="46">
        <f t="shared" si="12"/>
        <v>7682.0000000000009</v>
      </c>
      <c r="H294" s="177" t="e">
        <f t="shared" si="13"/>
        <v>#DIV/0!</v>
      </c>
      <c r="J294" s="99"/>
      <c r="N294" s="97"/>
      <c r="O294" s="97"/>
    </row>
    <row r="295" spans="1:15" ht="24.75" customHeight="1">
      <c r="A295" s="41"/>
      <c r="B295" s="22" t="s">
        <v>212</v>
      </c>
      <c r="C295" s="66"/>
      <c r="D295" s="19">
        <v>2273.6</v>
      </c>
      <c r="E295" s="19"/>
      <c r="F295" s="19">
        <v>6540.6</v>
      </c>
      <c r="G295" s="16">
        <f t="shared" si="12"/>
        <v>6540.6</v>
      </c>
      <c r="H295" s="59" t="e">
        <f t="shared" si="13"/>
        <v>#DIV/0!</v>
      </c>
    </row>
    <row r="296" spans="1:15" ht="24.75" customHeight="1">
      <c r="A296" s="41"/>
      <c r="B296" s="22" t="s">
        <v>139</v>
      </c>
      <c r="C296" s="66"/>
      <c r="D296" s="19">
        <v>355</v>
      </c>
      <c r="E296" s="19"/>
      <c r="F296" s="19">
        <v>436.2</v>
      </c>
      <c r="G296" s="16">
        <f t="shared" si="12"/>
        <v>436.2</v>
      </c>
      <c r="H296" s="59" t="e">
        <f t="shared" si="13"/>
        <v>#DIV/0!</v>
      </c>
    </row>
    <row r="297" spans="1:15" ht="40.5" customHeight="1">
      <c r="A297" s="41"/>
      <c r="B297" s="18" t="s">
        <v>213</v>
      </c>
      <c r="C297" s="66"/>
      <c r="D297" s="19">
        <v>57.8</v>
      </c>
      <c r="E297" s="19"/>
      <c r="F297" s="19">
        <f>248.5+40.2+393.5-40.2</f>
        <v>642</v>
      </c>
      <c r="G297" s="16">
        <f t="shared" si="12"/>
        <v>642</v>
      </c>
      <c r="H297" s="59" t="e">
        <f t="shared" si="13"/>
        <v>#DIV/0!</v>
      </c>
    </row>
    <row r="298" spans="1:15" ht="25.5" customHeight="1">
      <c r="A298" s="41"/>
      <c r="B298" s="18" t="s">
        <v>163</v>
      </c>
      <c r="C298" s="66"/>
      <c r="D298" s="19">
        <v>2.1</v>
      </c>
      <c r="E298" s="19"/>
      <c r="F298" s="19">
        <v>24.1</v>
      </c>
      <c r="G298" s="16">
        <f t="shared" si="12"/>
        <v>24.1</v>
      </c>
      <c r="H298" s="59" t="e">
        <f t="shared" si="13"/>
        <v>#DIV/0!</v>
      </c>
    </row>
    <row r="299" spans="1:15" ht="24.75" customHeight="1">
      <c r="A299" s="41"/>
      <c r="B299" s="18" t="s">
        <v>180</v>
      </c>
      <c r="C299" s="66"/>
      <c r="D299" s="19">
        <v>0.9</v>
      </c>
      <c r="E299" s="19"/>
      <c r="F299" s="19">
        <f>40.9-1.8</f>
        <v>39.1</v>
      </c>
      <c r="G299" s="16">
        <f t="shared" si="12"/>
        <v>39.1</v>
      </c>
      <c r="H299" s="59" t="e">
        <f t="shared" si="13"/>
        <v>#DIV/0!</v>
      </c>
      <c r="I299" s="21"/>
    </row>
    <row r="300" spans="1:15" s="94" customFormat="1" ht="24.75" customHeight="1">
      <c r="A300" s="76" t="s">
        <v>359</v>
      </c>
      <c r="B300" s="77" t="s">
        <v>98</v>
      </c>
      <c r="C300" s="73">
        <v>1015</v>
      </c>
      <c r="D300" s="45">
        <f>SUM(D301:D311)</f>
        <v>394.1</v>
      </c>
      <c r="E300" s="45"/>
      <c r="F300" s="45">
        <f>SUM(F301:F311)</f>
        <v>630.29999999999995</v>
      </c>
      <c r="G300" s="46">
        <f t="shared" si="12"/>
        <v>630.29999999999995</v>
      </c>
      <c r="H300" s="177" t="e">
        <f t="shared" si="13"/>
        <v>#DIV/0!</v>
      </c>
      <c r="J300" s="99"/>
      <c r="N300" s="97"/>
      <c r="O300" s="97"/>
    </row>
    <row r="301" spans="1:15" ht="24.75" customHeight="1">
      <c r="A301" s="76"/>
      <c r="B301" s="84" t="s">
        <v>150</v>
      </c>
      <c r="C301" s="12"/>
      <c r="D301" s="19">
        <v>6.7</v>
      </c>
      <c r="E301" s="19"/>
      <c r="F301" s="19">
        <v>34.5</v>
      </c>
      <c r="G301" s="46">
        <f t="shared" si="12"/>
        <v>34.5</v>
      </c>
      <c r="H301" s="177" t="e">
        <f t="shared" si="13"/>
        <v>#DIV/0!</v>
      </c>
    </row>
    <row r="302" spans="1:15" ht="24.75" customHeight="1">
      <c r="A302" s="76"/>
      <c r="B302" s="84" t="s">
        <v>146</v>
      </c>
      <c r="C302" s="12"/>
      <c r="D302" s="19">
        <v>0.4</v>
      </c>
      <c r="E302" s="19"/>
      <c r="F302" s="19">
        <v>10</v>
      </c>
      <c r="G302" s="46">
        <f t="shared" si="12"/>
        <v>10</v>
      </c>
      <c r="H302" s="177" t="e">
        <f t="shared" si="13"/>
        <v>#DIV/0!</v>
      </c>
    </row>
    <row r="303" spans="1:15" ht="24.75" customHeight="1">
      <c r="A303" s="41"/>
      <c r="B303" s="18" t="s">
        <v>168</v>
      </c>
      <c r="C303" s="12"/>
      <c r="D303" s="19">
        <v>362.3</v>
      </c>
      <c r="E303" s="19"/>
      <c r="F303" s="19">
        <v>448.9</v>
      </c>
      <c r="G303" s="16">
        <f t="shared" si="12"/>
        <v>448.9</v>
      </c>
      <c r="H303" s="59" t="e">
        <f t="shared" si="13"/>
        <v>#DIV/0!</v>
      </c>
    </row>
    <row r="304" spans="1:15" ht="24.75" customHeight="1">
      <c r="A304" s="41"/>
      <c r="B304" s="18" t="s">
        <v>170</v>
      </c>
      <c r="C304" s="12"/>
      <c r="D304" s="19"/>
      <c r="E304" s="19"/>
      <c r="F304" s="19">
        <v>0.4</v>
      </c>
      <c r="G304" s="16">
        <f t="shared" si="12"/>
        <v>0.4</v>
      </c>
      <c r="H304" s="59" t="e">
        <f t="shared" si="13"/>
        <v>#DIV/0!</v>
      </c>
    </row>
    <row r="305" spans="1:15" ht="24.75" customHeight="1">
      <c r="A305" s="41"/>
      <c r="B305" s="18" t="s">
        <v>202</v>
      </c>
      <c r="C305" s="12"/>
      <c r="D305" s="19">
        <v>2.6</v>
      </c>
      <c r="E305" s="19"/>
      <c r="F305" s="19">
        <v>74.5</v>
      </c>
      <c r="G305" s="16">
        <f t="shared" si="12"/>
        <v>74.5</v>
      </c>
      <c r="H305" s="59" t="e">
        <f t="shared" si="13"/>
        <v>#DIV/0!</v>
      </c>
    </row>
    <row r="306" spans="1:15" ht="24.75" customHeight="1">
      <c r="A306" s="41"/>
      <c r="B306" s="18" t="s">
        <v>152</v>
      </c>
      <c r="C306" s="12"/>
      <c r="D306" s="19">
        <v>1.9</v>
      </c>
      <c r="E306" s="19"/>
      <c r="F306" s="19">
        <v>56.8</v>
      </c>
      <c r="G306" s="16">
        <f t="shared" si="12"/>
        <v>56.8</v>
      </c>
      <c r="H306" s="59" t="e">
        <f t="shared" si="13"/>
        <v>#DIV/0!</v>
      </c>
    </row>
    <row r="307" spans="1:15" ht="24.75" customHeight="1">
      <c r="A307" s="41"/>
      <c r="B307" s="18" t="s">
        <v>238</v>
      </c>
      <c r="C307" s="12"/>
      <c r="D307" s="19">
        <v>1.2</v>
      </c>
      <c r="E307" s="19"/>
      <c r="F307" s="19"/>
      <c r="G307" s="16">
        <f t="shared" si="12"/>
        <v>0</v>
      </c>
      <c r="H307" s="59" t="e">
        <f t="shared" si="13"/>
        <v>#DIV/0!</v>
      </c>
    </row>
    <row r="308" spans="1:15" ht="24.75" customHeight="1">
      <c r="A308" s="41"/>
      <c r="B308" s="18" t="s">
        <v>167</v>
      </c>
      <c r="C308" s="12"/>
      <c r="D308" s="19">
        <v>6.8</v>
      </c>
      <c r="E308" s="19"/>
      <c r="F308" s="19"/>
      <c r="G308" s="16">
        <f t="shared" si="12"/>
        <v>0</v>
      </c>
      <c r="H308" s="59" t="e">
        <f t="shared" si="13"/>
        <v>#DIV/0!</v>
      </c>
    </row>
    <row r="309" spans="1:15" ht="24.75" customHeight="1">
      <c r="A309" s="41"/>
      <c r="B309" s="18" t="s">
        <v>486</v>
      </c>
      <c r="C309" s="12"/>
      <c r="D309" s="19">
        <v>4.5</v>
      </c>
      <c r="E309" s="19"/>
      <c r="F309" s="19"/>
      <c r="G309" s="16">
        <f t="shared" si="12"/>
        <v>0</v>
      </c>
      <c r="H309" s="59" t="e">
        <f t="shared" si="13"/>
        <v>#DIV/0!</v>
      </c>
    </row>
    <row r="310" spans="1:15" ht="24.75" customHeight="1">
      <c r="A310" s="41"/>
      <c r="B310" s="18" t="s">
        <v>398</v>
      </c>
      <c r="C310" s="12"/>
      <c r="D310" s="19">
        <v>4.9000000000000004</v>
      </c>
      <c r="E310" s="19"/>
      <c r="F310" s="19"/>
      <c r="G310" s="16">
        <f t="shared" si="12"/>
        <v>0</v>
      </c>
      <c r="H310" s="59" t="e">
        <f t="shared" si="13"/>
        <v>#DIV/0!</v>
      </c>
    </row>
    <row r="311" spans="1:15" ht="24.75" customHeight="1">
      <c r="A311" s="41"/>
      <c r="B311" s="18" t="s">
        <v>175</v>
      </c>
      <c r="C311" s="12"/>
      <c r="D311" s="19">
        <v>2.8</v>
      </c>
      <c r="E311" s="19"/>
      <c r="F311" s="19">
        <v>5.2</v>
      </c>
      <c r="G311" s="16">
        <f t="shared" si="12"/>
        <v>5.2</v>
      </c>
      <c r="H311" s="59" t="e">
        <f t="shared" si="13"/>
        <v>#DIV/0!</v>
      </c>
    </row>
    <row r="312" spans="1:15" ht="24.75" customHeight="1">
      <c r="A312" s="41" t="s">
        <v>400</v>
      </c>
      <c r="B312" s="60" t="s">
        <v>399</v>
      </c>
      <c r="C312" s="191">
        <v>1020</v>
      </c>
      <c r="D312" s="15">
        <f>D316</f>
        <v>90.2</v>
      </c>
      <c r="E312" s="15"/>
      <c r="F312" s="15">
        <f>F313+F316</f>
        <v>12.399999999999999</v>
      </c>
      <c r="G312" s="20">
        <f t="shared" si="12"/>
        <v>12.399999999999999</v>
      </c>
      <c r="H312" s="178" t="e">
        <f t="shared" si="13"/>
        <v>#DIV/0!</v>
      </c>
    </row>
    <row r="313" spans="1:15" s="94" customFormat="1" ht="24.75" customHeight="1">
      <c r="A313" s="76" t="s">
        <v>401</v>
      </c>
      <c r="B313" s="43" t="s">
        <v>107</v>
      </c>
      <c r="C313" s="73">
        <v>1021</v>
      </c>
      <c r="D313" s="45"/>
      <c r="E313" s="45"/>
      <c r="F313" s="45">
        <f>SUM(F314:F315)</f>
        <v>7.8999999999999995</v>
      </c>
      <c r="G313" s="46">
        <f t="shared" si="12"/>
        <v>7.8999999999999995</v>
      </c>
      <c r="H313" s="177" t="e">
        <f t="shared" si="13"/>
        <v>#DIV/0!</v>
      </c>
      <c r="J313" s="99"/>
      <c r="N313" s="97"/>
      <c r="O313" s="97"/>
    </row>
    <row r="314" spans="1:15" ht="24.75" customHeight="1">
      <c r="A314" s="41"/>
      <c r="B314" s="18" t="s">
        <v>180</v>
      </c>
      <c r="C314" s="191"/>
      <c r="D314" s="15"/>
      <c r="E314" s="15"/>
      <c r="F314" s="19">
        <v>1.8</v>
      </c>
      <c r="G314" s="20">
        <f t="shared" si="12"/>
        <v>1.8</v>
      </c>
      <c r="H314" s="178" t="e">
        <f t="shared" si="13"/>
        <v>#DIV/0!</v>
      </c>
    </row>
    <row r="315" spans="1:15" ht="24.75" customHeight="1">
      <c r="A315" s="41"/>
      <c r="B315" s="18" t="s">
        <v>163</v>
      </c>
      <c r="C315" s="191"/>
      <c r="D315" s="15"/>
      <c r="E315" s="15"/>
      <c r="F315" s="19">
        <v>6.1</v>
      </c>
      <c r="G315" s="20">
        <f t="shared" si="12"/>
        <v>6.1</v>
      </c>
      <c r="H315" s="178" t="e">
        <f t="shared" si="13"/>
        <v>#DIV/0!</v>
      </c>
    </row>
    <row r="316" spans="1:15" ht="24.75" customHeight="1">
      <c r="A316" s="76" t="s">
        <v>456</v>
      </c>
      <c r="B316" s="43" t="s">
        <v>158</v>
      </c>
      <c r="C316" s="73">
        <v>1025</v>
      </c>
      <c r="D316" s="45">
        <f>SUM(D317:D319)</f>
        <v>90.2</v>
      </c>
      <c r="E316" s="45"/>
      <c r="F316" s="45">
        <f>F317+F318+F319</f>
        <v>4.5</v>
      </c>
      <c r="G316" s="46">
        <f t="shared" si="12"/>
        <v>4.5</v>
      </c>
      <c r="H316" s="59" t="e">
        <f t="shared" si="13"/>
        <v>#DIV/0!</v>
      </c>
    </row>
    <row r="317" spans="1:15" ht="24.75" customHeight="1">
      <c r="A317" s="41"/>
      <c r="B317" s="18" t="s">
        <v>169</v>
      </c>
      <c r="C317" s="12"/>
      <c r="D317" s="19">
        <v>4.8</v>
      </c>
      <c r="E317" s="19"/>
      <c r="F317" s="19"/>
      <c r="G317" s="16">
        <f t="shared" si="12"/>
        <v>0</v>
      </c>
      <c r="H317" s="59" t="e">
        <f t="shared" si="13"/>
        <v>#DIV/0!</v>
      </c>
    </row>
    <row r="318" spans="1:15" ht="24.75" customHeight="1">
      <c r="A318" s="41"/>
      <c r="B318" s="18" t="s">
        <v>168</v>
      </c>
      <c r="C318" s="12"/>
      <c r="D318" s="19">
        <v>85.4</v>
      </c>
      <c r="E318" s="19"/>
      <c r="F318" s="19"/>
      <c r="G318" s="16">
        <f t="shared" si="12"/>
        <v>0</v>
      </c>
      <c r="H318" s="59" t="e">
        <f t="shared" si="13"/>
        <v>#DIV/0!</v>
      </c>
    </row>
    <row r="319" spans="1:15" ht="24.75" customHeight="1">
      <c r="A319" s="41"/>
      <c r="B319" s="18" t="s">
        <v>450</v>
      </c>
      <c r="C319" s="12"/>
      <c r="D319" s="19"/>
      <c r="E319" s="19"/>
      <c r="F319" s="19">
        <f>2.2+2.3</f>
        <v>4.5</v>
      </c>
      <c r="G319" s="16">
        <f t="shared" si="12"/>
        <v>4.5</v>
      </c>
      <c r="H319" s="59" t="e">
        <f t="shared" si="13"/>
        <v>#DIV/0!</v>
      </c>
    </row>
    <row r="320" spans="1:15" ht="24.75" customHeight="1">
      <c r="A320" s="41" t="s">
        <v>253</v>
      </c>
      <c r="B320" s="60" t="s">
        <v>488</v>
      </c>
      <c r="C320" s="191"/>
      <c r="D320" s="15">
        <f>D322</f>
        <v>11.6</v>
      </c>
      <c r="E320" s="15">
        <f>E322</f>
        <v>0</v>
      </c>
      <c r="F320" s="15">
        <f>F322</f>
        <v>0</v>
      </c>
      <c r="G320" s="20">
        <f t="shared" si="12"/>
        <v>0</v>
      </c>
      <c r="H320" s="178" t="e">
        <f t="shared" si="13"/>
        <v>#DIV/0!</v>
      </c>
    </row>
    <row r="321" spans="1:10" ht="24.75" customHeight="1">
      <c r="A321" s="41"/>
      <c r="B321" s="18" t="s">
        <v>86</v>
      </c>
      <c r="C321" s="12"/>
      <c r="D321" s="19"/>
      <c r="E321" s="19">
        <f>E323</f>
        <v>0</v>
      </c>
      <c r="F321" s="19"/>
      <c r="G321" s="16">
        <f t="shared" si="12"/>
        <v>0</v>
      </c>
      <c r="H321" s="59" t="e">
        <f t="shared" si="13"/>
        <v>#DIV/0!</v>
      </c>
    </row>
    <row r="322" spans="1:10" ht="24.75" customHeight="1">
      <c r="A322" s="41" t="s">
        <v>457</v>
      </c>
      <c r="B322" s="60" t="s">
        <v>90</v>
      </c>
      <c r="C322" s="191">
        <v>1010</v>
      </c>
      <c r="D322" s="15">
        <f>D323+D326</f>
        <v>11.6</v>
      </c>
      <c r="E322" s="15"/>
      <c r="F322" s="15">
        <f>F323+F326</f>
        <v>0</v>
      </c>
      <c r="G322" s="20">
        <f t="shared" si="12"/>
        <v>0</v>
      </c>
      <c r="H322" s="178" t="e">
        <f t="shared" si="13"/>
        <v>#DIV/0!</v>
      </c>
    </row>
    <row r="323" spans="1:10" ht="24.75" customHeight="1">
      <c r="A323" s="76" t="s">
        <v>459</v>
      </c>
      <c r="B323" s="43" t="s">
        <v>107</v>
      </c>
      <c r="C323" s="73">
        <v>1011</v>
      </c>
      <c r="D323" s="45">
        <f>SUM(D324:D324)</f>
        <v>11.6</v>
      </c>
      <c r="E323" s="45">
        <f>SUM(E324:E324)</f>
        <v>0</v>
      </c>
      <c r="F323" s="45">
        <f>SUM(F324:F324)</f>
        <v>0</v>
      </c>
      <c r="G323" s="46">
        <f t="shared" si="12"/>
        <v>0</v>
      </c>
      <c r="H323" s="177" t="e">
        <f t="shared" si="13"/>
        <v>#DIV/0!</v>
      </c>
    </row>
    <row r="324" spans="1:10" ht="39.75" customHeight="1">
      <c r="A324" s="41" t="s">
        <v>460</v>
      </c>
      <c r="B324" s="18" t="s">
        <v>213</v>
      </c>
      <c r="C324" s="12"/>
      <c r="D324" s="19">
        <v>11.6</v>
      </c>
      <c r="E324" s="19"/>
      <c r="F324" s="19"/>
      <c r="G324" s="16">
        <f t="shared" si="12"/>
        <v>0</v>
      </c>
      <c r="H324" s="59" t="e">
        <f t="shared" si="13"/>
        <v>#DIV/0!</v>
      </c>
    </row>
    <row r="325" spans="1:10" ht="24.75" customHeight="1">
      <c r="A325" s="41" t="s">
        <v>228</v>
      </c>
      <c r="B325" s="60" t="s">
        <v>224</v>
      </c>
      <c r="C325" s="191"/>
      <c r="D325" s="15">
        <f>D327+D351</f>
        <v>555.79999999999995</v>
      </c>
      <c r="E325" s="15">
        <f>E327+E351</f>
        <v>0</v>
      </c>
      <c r="F325" s="15">
        <f>F327+F351+F368</f>
        <v>870.90000000000009</v>
      </c>
      <c r="G325" s="16">
        <f t="shared" si="12"/>
        <v>870.90000000000009</v>
      </c>
      <c r="H325" s="59" t="e">
        <f t="shared" si="13"/>
        <v>#DIV/0!</v>
      </c>
      <c r="I325" s="21"/>
    </row>
    <row r="326" spans="1:10" ht="24.75" customHeight="1">
      <c r="A326" s="41"/>
      <c r="B326" s="71" t="s">
        <v>86</v>
      </c>
      <c r="C326" s="191"/>
      <c r="D326" s="19"/>
      <c r="E326" s="19"/>
      <c r="F326" s="19"/>
      <c r="G326" s="16">
        <f t="shared" si="12"/>
        <v>0</v>
      </c>
      <c r="H326" s="59" t="e">
        <f t="shared" si="13"/>
        <v>#DIV/0!</v>
      </c>
      <c r="J326" s="29"/>
    </row>
    <row r="327" spans="1:10" ht="24.75" customHeight="1">
      <c r="A327" s="41" t="s">
        <v>466</v>
      </c>
      <c r="B327" s="192" t="s">
        <v>90</v>
      </c>
      <c r="C327" s="191">
        <v>1010</v>
      </c>
      <c r="D327" s="15">
        <f>D328+D334+D335</f>
        <v>365.8</v>
      </c>
      <c r="E327" s="15">
        <f>E328+E334+E335</f>
        <v>0</v>
      </c>
      <c r="F327" s="15">
        <f>F328+F334+F335</f>
        <v>600.80000000000007</v>
      </c>
      <c r="G327" s="20">
        <f t="shared" si="12"/>
        <v>600.80000000000007</v>
      </c>
      <c r="H327" s="178" t="e">
        <f t="shared" si="13"/>
        <v>#DIV/0!</v>
      </c>
    </row>
    <row r="328" spans="1:10" ht="27.75" customHeight="1">
      <c r="A328" s="76" t="s">
        <v>458</v>
      </c>
      <c r="B328" s="62" t="s">
        <v>107</v>
      </c>
      <c r="C328" s="44">
        <v>1011</v>
      </c>
      <c r="D328" s="45">
        <f>SUM(D329:D333)</f>
        <v>228.10000000000002</v>
      </c>
      <c r="E328" s="45">
        <f>SUM(E329:E333)</f>
        <v>0</v>
      </c>
      <c r="F328" s="45">
        <f>SUM(F329:F333)</f>
        <v>205.4</v>
      </c>
      <c r="G328" s="46">
        <f t="shared" si="12"/>
        <v>205.4</v>
      </c>
      <c r="H328" s="177" t="e">
        <f t="shared" si="13"/>
        <v>#DIV/0!</v>
      </c>
    </row>
    <row r="329" spans="1:10" ht="24.75" customHeight="1">
      <c r="A329" s="41"/>
      <c r="B329" s="22" t="s">
        <v>180</v>
      </c>
      <c r="C329" s="66"/>
      <c r="D329" s="19">
        <v>5.9</v>
      </c>
      <c r="E329" s="19"/>
      <c r="F329" s="19">
        <v>2.7</v>
      </c>
      <c r="G329" s="16">
        <f t="shared" si="12"/>
        <v>2.7</v>
      </c>
      <c r="H329" s="59" t="e">
        <f t="shared" si="13"/>
        <v>#DIV/0!</v>
      </c>
      <c r="J329" s="29"/>
    </row>
    <row r="330" spans="1:10" ht="24.75" customHeight="1">
      <c r="A330" s="78"/>
      <c r="B330" s="22" t="s">
        <v>225</v>
      </c>
      <c r="C330" s="66"/>
      <c r="D330" s="19">
        <v>52.5</v>
      </c>
      <c r="E330" s="19"/>
      <c r="F330" s="19">
        <v>10.6</v>
      </c>
      <c r="G330" s="16">
        <f t="shared" si="12"/>
        <v>10.6</v>
      </c>
      <c r="H330" s="59" t="e">
        <f t="shared" si="13"/>
        <v>#DIV/0!</v>
      </c>
    </row>
    <row r="331" spans="1:10" ht="24.75" customHeight="1">
      <c r="A331" s="78"/>
      <c r="B331" s="22" t="s">
        <v>139</v>
      </c>
      <c r="C331" s="66"/>
      <c r="D331" s="19">
        <v>30.2</v>
      </c>
      <c r="E331" s="19"/>
      <c r="F331" s="19"/>
      <c r="G331" s="16">
        <f t="shared" si="12"/>
        <v>0</v>
      </c>
      <c r="H331" s="59" t="e">
        <f t="shared" si="13"/>
        <v>#DIV/0!</v>
      </c>
    </row>
    <row r="332" spans="1:10" ht="39.75" customHeight="1">
      <c r="A332" s="78"/>
      <c r="B332" s="18" t="s">
        <v>213</v>
      </c>
      <c r="C332" s="66"/>
      <c r="D332" s="19">
        <v>85.7</v>
      </c>
      <c r="E332" s="19"/>
      <c r="F332" s="19">
        <f>92.9</f>
        <v>92.9</v>
      </c>
      <c r="G332" s="16">
        <f t="shared" si="12"/>
        <v>92.9</v>
      </c>
      <c r="H332" s="59" t="e">
        <f t="shared" si="13"/>
        <v>#DIV/0!</v>
      </c>
    </row>
    <row r="333" spans="1:10" ht="24.75" customHeight="1">
      <c r="A333" s="78"/>
      <c r="B333" s="18" t="s">
        <v>221</v>
      </c>
      <c r="C333" s="66"/>
      <c r="D333" s="19">
        <v>53.8</v>
      </c>
      <c r="E333" s="19"/>
      <c r="F333" s="19">
        <v>99.2</v>
      </c>
      <c r="G333" s="16">
        <f t="shared" si="12"/>
        <v>99.2</v>
      </c>
      <c r="H333" s="59" t="e">
        <f t="shared" si="13"/>
        <v>#DIV/0!</v>
      </c>
    </row>
    <row r="334" spans="1:10" ht="24.75" customHeight="1">
      <c r="A334" s="76" t="s">
        <v>467</v>
      </c>
      <c r="B334" s="62" t="s">
        <v>4</v>
      </c>
      <c r="C334" s="73">
        <v>1014</v>
      </c>
      <c r="D334" s="45">
        <v>38.9</v>
      </c>
      <c r="E334" s="45"/>
      <c r="F334" s="45">
        <f>78.2+200</f>
        <v>278.2</v>
      </c>
      <c r="G334" s="46">
        <f t="shared" ref="G334:G384" si="15">F334-E334</f>
        <v>278.2</v>
      </c>
      <c r="H334" s="177" t="e">
        <f t="shared" ref="H334:H384" si="16">(F334/E334)*100</f>
        <v>#DIV/0!</v>
      </c>
    </row>
    <row r="335" spans="1:10" ht="24.75" customHeight="1">
      <c r="A335" s="76" t="s">
        <v>468</v>
      </c>
      <c r="B335" s="77" t="s">
        <v>98</v>
      </c>
      <c r="C335" s="73">
        <v>1015</v>
      </c>
      <c r="D335" s="45">
        <f>SUM(D336:D350)</f>
        <v>98.800000000000011</v>
      </c>
      <c r="E335" s="45">
        <f>SUM(E336:E347)</f>
        <v>0</v>
      </c>
      <c r="F335" s="45">
        <f>SUM(F336:F350)</f>
        <v>117.2</v>
      </c>
      <c r="G335" s="46">
        <f t="shared" si="15"/>
        <v>117.2</v>
      </c>
      <c r="H335" s="177" t="e">
        <f t="shared" si="16"/>
        <v>#DIV/0!</v>
      </c>
      <c r="I335" s="21"/>
      <c r="J335" s="29"/>
    </row>
    <row r="336" spans="1:10" ht="24.75" customHeight="1">
      <c r="A336" s="41"/>
      <c r="B336" s="18" t="s">
        <v>149</v>
      </c>
      <c r="C336" s="191"/>
      <c r="D336" s="19">
        <v>4.3</v>
      </c>
      <c r="E336" s="19"/>
      <c r="F336" s="19"/>
      <c r="G336" s="16">
        <f t="shared" si="15"/>
        <v>0</v>
      </c>
      <c r="H336" s="59" t="e">
        <f t="shared" si="16"/>
        <v>#DIV/0!</v>
      </c>
    </row>
    <row r="337" spans="1:8" ht="24.75" customHeight="1">
      <c r="A337" s="41"/>
      <c r="B337" s="18" t="s">
        <v>150</v>
      </c>
      <c r="C337" s="191"/>
      <c r="D337" s="19">
        <v>4.4000000000000004</v>
      </c>
      <c r="E337" s="19"/>
      <c r="F337" s="19">
        <f>1.1</f>
        <v>1.1000000000000001</v>
      </c>
      <c r="G337" s="16">
        <f t="shared" si="15"/>
        <v>1.1000000000000001</v>
      </c>
      <c r="H337" s="59" t="e">
        <f t="shared" si="16"/>
        <v>#DIV/0!</v>
      </c>
    </row>
    <row r="338" spans="1:8" ht="24.75" customHeight="1">
      <c r="A338" s="41"/>
      <c r="B338" s="18" t="s">
        <v>154</v>
      </c>
      <c r="C338" s="66"/>
      <c r="D338" s="19">
        <v>0.9</v>
      </c>
      <c r="E338" s="19"/>
      <c r="F338" s="19">
        <f>8.2+3.2</f>
        <v>11.399999999999999</v>
      </c>
      <c r="G338" s="16">
        <f t="shared" si="15"/>
        <v>11.399999999999999</v>
      </c>
      <c r="H338" s="59" t="e">
        <f t="shared" si="16"/>
        <v>#DIV/0!</v>
      </c>
    </row>
    <row r="339" spans="1:8" ht="24.75" customHeight="1">
      <c r="A339" s="41"/>
      <c r="B339" s="18" t="s">
        <v>317</v>
      </c>
      <c r="C339" s="66"/>
      <c r="D339" s="19">
        <v>19.5</v>
      </c>
      <c r="E339" s="19"/>
      <c r="F339" s="19">
        <v>29.2</v>
      </c>
      <c r="G339" s="16">
        <f t="shared" si="15"/>
        <v>29.2</v>
      </c>
      <c r="H339" s="59" t="e">
        <f t="shared" si="16"/>
        <v>#DIV/0!</v>
      </c>
    </row>
    <row r="340" spans="1:8" ht="24.75" customHeight="1">
      <c r="A340" s="41"/>
      <c r="B340" s="18" t="s">
        <v>166</v>
      </c>
      <c r="C340" s="66"/>
      <c r="D340" s="19">
        <v>31.1</v>
      </c>
      <c r="E340" s="19"/>
      <c r="F340" s="19">
        <v>6.6</v>
      </c>
      <c r="G340" s="16">
        <f t="shared" si="15"/>
        <v>6.6</v>
      </c>
      <c r="H340" s="59" t="e">
        <f t="shared" si="16"/>
        <v>#DIV/0!</v>
      </c>
    </row>
    <row r="341" spans="1:8" ht="24.75" customHeight="1">
      <c r="A341" s="41"/>
      <c r="B341" s="18" t="s">
        <v>167</v>
      </c>
      <c r="C341" s="66"/>
      <c r="D341" s="19"/>
      <c r="E341" s="19"/>
      <c r="F341" s="19">
        <f>21.6+7.6</f>
        <v>29.200000000000003</v>
      </c>
      <c r="G341" s="16">
        <f t="shared" si="15"/>
        <v>29.200000000000003</v>
      </c>
      <c r="H341" s="59" t="e">
        <f t="shared" si="16"/>
        <v>#DIV/0!</v>
      </c>
    </row>
    <row r="342" spans="1:8" ht="30" customHeight="1">
      <c r="A342" s="41"/>
      <c r="B342" s="18" t="s">
        <v>165</v>
      </c>
      <c r="C342" s="66"/>
      <c r="D342" s="19">
        <v>1.6</v>
      </c>
      <c r="E342" s="19"/>
      <c r="F342" s="19">
        <v>2.2999999999999998</v>
      </c>
      <c r="G342" s="16">
        <f t="shared" si="15"/>
        <v>2.2999999999999998</v>
      </c>
      <c r="H342" s="59" t="e">
        <f t="shared" si="16"/>
        <v>#DIV/0!</v>
      </c>
    </row>
    <row r="343" spans="1:8" ht="24.75" customHeight="1">
      <c r="A343" s="41"/>
      <c r="B343" s="18" t="s">
        <v>239</v>
      </c>
      <c r="C343" s="66"/>
      <c r="D343" s="19"/>
      <c r="E343" s="19"/>
      <c r="F343" s="19">
        <v>1.2</v>
      </c>
      <c r="G343" s="16">
        <f t="shared" si="15"/>
        <v>1.2</v>
      </c>
      <c r="H343" s="59" t="e">
        <f t="shared" si="16"/>
        <v>#DIV/0!</v>
      </c>
    </row>
    <row r="344" spans="1:8" ht="28.5" customHeight="1">
      <c r="A344" s="41"/>
      <c r="B344" s="18" t="s">
        <v>170</v>
      </c>
      <c r="C344" s="66"/>
      <c r="D344" s="19">
        <v>4.3</v>
      </c>
      <c r="E344" s="19"/>
      <c r="F344" s="19">
        <f>0.4</f>
        <v>0.4</v>
      </c>
      <c r="G344" s="16">
        <f t="shared" si="15"/>
        <v>0.4</v>
      </c>
      <c r="H344" s="59" t="e">
        <f t="shared" si="16"/>
        <v>#DIV/0!</v>
      </c>
    </row>
    <row r="345" spans="1:8" ht="25.5" customHeight="1">
      <c r="A345" s="41"/>
      <c r="B345" s="18" t="s">
        <v>215</v>
      </c>
      <c r="C345" s="66"/>
      <c r="D345" s="19">
        <v>4.8</v>
      </c>
      <c r="E345" s="19"/>
      <c r="F345" s="19"/>
      <c r="G345" s="16">
        <f t="shared" si="15"/>
        <v>0</v>
      </c>
      <c r="H345" s="59" t="e">
        <f t="shared" si="16"/>
        <v>#DIV/0!</v>
      </c>
    </row>
    <row r="346" spans="1:8" ht="24.75" customHeight="1">
      <c r="A346" s="41"/>
      <c r="B346" s="18" t="s">
        <v>238</v>
      </c>
      <c r="C346" s="66"/>
      <c r="D346" s="19">
        <v>1.6</v>
      </c>
      <c r="E346" s="19"/>
      <c r="F346" s="19">
        <v>26.5</v>
      </c>
      <c r="G346" s="16">
        <f t="shared" si="15"/>
        <v>26.5</v>
      </c>
      <c r="H346" s="59" t="e">
        <f t="shared" si="16"/>
        <v>#DIV/0!</v>
      </c>
    </row>
    <row r="347" spans="1:8" ht="24.75" customHeight="1">
      <c r="A347" s="41"/>
      <c r="B347" s="84" t="s">
        <v>226</v>
      </c>
      <c r="C347" s="66"/>
      <c r="D347" s="19">
        <v>6.9</v>
      </c>
      <c r="E347" s="19"/>
      <c r="F347" s="19">
        <f>9.3</f>
        <v>9.3000000000000007</v>
      </c>
      <c r="G347" s="16">
        <f t="shared" si="15"/>
        <v>9.3000000000000007</v>
      </c>
      <c r="H347" s="59" t="e">
        <f t="shared" si="16"/>
        <v>#DIV/0!</v>
      </c>
    </row>
    <row r="348" spans="1:8" ht="24.75" customHeight="1">
      <c r="A348" s="41"/>
      <c r="B348" s="84" t="s">
        <v>486</v>
      </c>
      <c r="C348" s="66"/>
      <c r="D348" s="19">
        <v>4.5</v>
      </c>
      <c r="E348" s="19"/>
      <c r="F348" s="19"/>
      <c r="G348" s="16">
        <f t="shared" si="15"/>
        <v>0</v>
      </c>
      <c r="H348" s="59" t="e">
        <f t="shared" si="16"/>
        <v>#DIV/0!</v>
      </c>
    </row>
    <row r="349" spans="1:8" ht="24.75" customHeight="1">
      <c r="A349" s="41"/>
      <c r="B349" s="84" t="s">
        <v>487</v>
      </c>
      <c r="C349" s="66"/>
      <c r="D349" s="19">
        <v>5.4</v>
      </c>
      <c r="E349" s="19"/>
      <c r="F349" s="19"/>
      <c r="G349" s="16">
        <f t="shared" si="15"/>
        <v>0</v>
      </c>
      <c r="H349" s="59" t="e">
        <f t="shared" si="16"/>
        <v>#DIV/0!</v>
      </c>
    </row>
    <row r="350" spans="1:8" ht="24.75" customHeight="1">
      <c r="A350" s="41"/>
      <c r="B350" s="84" t="s">
        <v>279</v>
      </c>
      <c r="C350" s="66"/>
      <c r="D350" s="19">
        <v>9.5</v>
      </c>
      <c r="E350" s="19"/>
      <c r="F350" s="19"/>
      <c r="G350" s="16">
        <f t="shared" si="15"/>
        <v>0</v>
      </c>
      <c r="H350" s="59" t="e">
        <f t="shared" si="16"/>
        <v>#DIV/0!</v>
      </c>
    </row>
    <row r="351" spans="1:8" ht="24.75" customHeight="1">
      <c r="A351" s="41" t="s">
        <v>469</v>
      </c>
      <c r="B351" s="192" t="s">
        <v>92</v>
      </c>
      <c r="C351" s="191">
        <v>1020</v>
      </c>
      <c r="D351" s="15">
        <f>D352+D355</f>
        <v>190</v>
      </c>
      <c r="E351" s="15">
        <f>E352+E355</f>
        <v>0</v>
      </c>
      <c r="F351" s="15">
        <f>F352+F355</f>
        <v>150.30000000000001</v>
      </c>
      <c r="G351" s="20">
        <f t="shared" si="15"/>
        <v>150.30000000000001</v>
      </c>
      <c r="H351" s="178" t="e">
        <f t="shared" si="16"/>
        <v>#DIV/0!</v>
      </c>
    </row>
    <row r="352" spans="1:8" ht="24.75" customHeight="1">
      <c r="A352" s="76" t="s">
        <v>470</v>
      </c>
      <c r="B352" s="75" t="s">
        <v>107</v>
      </c>
      <c r="C352" s="73">
        <v>1021</v>
      </c>
      <c r="D352" s="45">
        <f>D353+D354</f>
        <v>22.099999999999998</v>
      </c>
      <c r="E352" s="45">
        <f>E353+E354</f>
        <v>0</v>
      </c>
      <c r="F352" s="45">
        <f>F353+F354</f>
        <v>27</v>
      </c>
      <c r="G352" s="46">
        <f t="shared" si="15"/>
        <v>27</v>
      </c>
      <c r="H352" s="177" t="e">
        <f t="shared" si="16"/>
        <v>#DIV/0!</v>
      </c>
    </row>
    <row r="353" spans="1:8" ht="24.75" customHeight="1">
      <c r="A353" s="41"/>
      <c r="B353" s="84" t="s">
        <v>221</v>
      </c>
      <c r="C353" s="191"/>
      <c r="D353" s="19">
        <v>21.7</v>
      </c>
      <c r="E353" s="19"/>
      <c r="F353" s="19">
        <v>22.3</v>
      </c>
      <c r="G353" s="16">
        <f t="shared" si="15"/>
        <v>22.3</v>
      </c>
      <c r="H353" s="59" t="e">
        <f t="shared" si="16"/>
        <v>#DIV/0!</v>
      </c>
    </row>
    <row r="354" spans="1:8" ht="42.75" customHeight="1">
      <c r="A354" s="41"/>
      <c r="B354" s="84" t="s">
        <v>213</v>
      </c>
      <c r="C354" s="191"/>
      <c r="D354" s="19">
        <v>0.4</v>
      </c>
      <c r="E354" s="19"/>
      <c r="F354" s="19">
        <v>4.7</v>
      </c>
      <c r="G354" s="16">
        <f t="shared" si="15"/>
        <v>4.7</v>
      </c>
      <c r="H354" s="59" t="e">
        <f t="shared" si="16"/>
        <v>#DIV/0!</v>
      </c>
    </row>
    <row r="355" spans="1:8" ht="24.75" customHeight="1">
      <c r="A355" s="76" t="s">
        <v>471</v>
      </c>
      <c r="B355" s="62" t="s">
        <v>177</v>
      </c>
      <c r="C355" s="44">
        <v>1025</v>
      </c>
      <c r="D355" s="45">
        <f>SUM(D356:D367)</f>
        <v>167.9</v>
      </c>
      <c r="E355" s="45">
        <f>SUM(E356:E367)</f>
        <v>0</v>
      </c>
      <c r="F355" s="45">
        <f>SUM(F356:F367)</f>
        <v>123.3</v>
      </c>
      <c r="G355" s="46">
        <f t="shared" si="15"/>
        <v>123.3</v>
      </c>
      <c r="H355" s="177" t="e">
        <f t="shared" si="16"/>
        <v>#DIV/0!</v>
      </c>
    </row>
    <row r="356" spans="1:8" ht="24.75" customHeight="1">
      <c r="A356" s="41"/>
      <c r="B356" s="22" t="s">
        <v>154</v>
      </c>
      <c r="C356" s="66"/>
      <c r="D356" s="19">
        <v>1.3</v>
      </c>
      <c r="E356" s="19"/>
      <c r="F356" s="19">
        <v>2.9</v>
      </c>
      <c r="G356" s="16">
        <f t="shared" si="15"/>
        <v>2.9</v>
      </c>
      <c r="H356" s="59" t="e">
        <f t="shared" si="16"/>
        <v>#DIV/0!</v>
      </c>
    </row>
    <row r="357" spans="1:8" ht="40.5" customHeight="1">
      <c r="A357" s="41"/>
      <c r="B357" s="18" t="s">
        <v>222</v>
      </c>
      <c r="C357" s="48"/>
      <c r="D357" s="19">
        <v>22.7</v>
      </c>
      <c r="E357" s="19"/>
      <c r="F357" s="19">
        <v>44.4</v>
      </c>
      <c r="G357" s="16">
        <f t="shared" si="15"/>
        <v>44.4</v>
      </c>
      <c r="H357" s="59" t="e">
        <f t="shared" si="16"/>
        <v>#DIV/0!</v>
      </c>
    </row>
    <row r="358" spans="1:8" ht="31.5" customHeight="1">
      <c r="A358" s="41"/>
      <c r="B358" s="18" t="s">
        <v>167</v>
      </c>
      <c r="C358" s="48"/>
      <c r="D358" s="19"/>
      <c r="E358" s="19"/>
      <c r="F358" s="19">
        <v>8.6</v>
      </c>
      <c r="G358" s="16">
        <f t="shared" si="15"/>
        <v>8.6</v>
      </c>
      <c r="H358" s="59" t="e">
        <f t="shared" si="16"/>
        <v>#DIV/0!</v>
      </c>
    </row>
    <row r="359" spans="1:8" ht="31.5" customHeight="1">
      <c r="A359" s="41"/>
      <c r="B359" s="18" t="s">
        <v>166</v>
      </c>
      <c r="C359" s="48"/>
      <c r="D359" s="19"/>
      <c r="E359" s="19"/>
      <c r="F359" s="19">
        <f>9</f>
        <v>9</v>
      </c>
      <c r="G359" s="16">
        <f t="shared" si="15"/>
        <v>9</v>
      </c>
      <c r="H359" s="59" t="e">
        <f t="shared" si="16"/>
        <v>#DIV/0!</v>
      </c>
    </row>
    <row r="360" spans="1:8" ht="27.75" customHeight="1">
      <c r="A360" s="41"/>
      <c r="B360" s="18" t="s">
        <v>171</v>
      </c>
      <c r="C360" s="48"/>
      <c r="D360" s="19">
        <v>5.0999999999999996</v>
      </c>
      <c r="E360" s="19"/>
      <c r="F360" s="19">
        <v>5.6</v>
      </c>
      <c r="G360" s="16">
        <f t="shared" si="15"/>
        <v>5.6</v>
      </c>
      <c r="H360" s="59" t="e">
        <f t="shared" si="16"/>
        <v>#DIV/0!</v>
      </c>
    </row>
    <row r="361" spans="1:8" ht="24" customHeight="1">
      <c r="A361" s="41"/>
      <c r="B361" s="18" t="s">
        <v>203</v>
      </c>
      <c r="C361" s="48"/>
      <c r="D361" s="19">
        <v>1</v>
      </c>
      <c r="E361" s="19"/>
      <c r="F361" s="19">
        <v>1.1000000000000001</v>
      </c>
      <c r="G361" s="16">
        <f t="shared" si="15"/>
        <v>1.1000000000000001</v>
      </c>
      <c r="H361" s="59" t="e">
        <f t="shared" si="16"/>
        <v>#DIV/0!</v>
      </c>
    </row>
    <row r="362" spans="1:8" ht="26.25" customHeight="1">
      <c r="A362" s="41"/>
      <c r="B362" s="18" t="s">
        <v>159</v>
      </c>
      <c r="C362" s="48"/>
      <c r="D362" s="19"/>
      <c r="E362" s="19"/>
      <c r="F362" s="19">
        <f>8.8+3.6</f>
        <v>12.4</v>
      </c>
      <c r="G362" s="16">
        <f t="shared" si="15"/>
        <v>12.4</v>
      </c>
      <c r="H362" s="59" t="e">
        <f t="shared" si="16"/>
        <v>#DIV/0!</v>
      </c>
    </row>
    <row r="363" spans="1:8" ht="24.75" customHeight="1">
      <c r="A363" s="41"/>
      <c r="B363" s="18" t="s">
        <v>227</v>
      </c>
      <c r="C363" s="48"/>
      <c r="D363" s="19">
        <v>5.0999999999999996</v>
      </c>
      <c r="E363" s="19"/>
      <c r="F363" s="19">
        <f>5</f>
        <v>5</v>
      </c>
      <c r="G363" s="16">
        <f t="shared" si="15"/>
        <v>5</v>
      </c>
      <c r="H363" s="59" t="e">
        <f t="shared" si="16"/>
        <v>#DIV/0!</v>
      </c>
    </row>
    <row r="364" spans="1:8" ht="28.5" customHeight="1">
      <c r="A364" s="41"/>
      <c r="B364" s="18" t="s">
        <v>402</v>
      </c>
      <c r="C364" s="48"/>
      <c r="D364" s="19">
        <v>4.5</v>
      </c>
      <c r="E364" s="19"/>
      <c r="F364" s="19"/>
      <c r="G364" s="16">
        <f t="shared" si="15"/>
        <v>0</v>
      </c>
      <c r="H364" s="59" t="e">
        <f t="shared" si="16"/>
        <v>#DIV/0!</v>
      </c>
    </row>
    <row r="365" spans="1:8" ht="23.25" customHeight="1">
      <c r="A365" s="41"/>
      <c r="B365" s="18" t="s">
        <v>236</v>
      </c>
      <c r="C365" s="48"/>
      <c r="D365" s="19">
        <v>21.3</v>
      </c>
      <c r="E365" s="19"/>
      <c r="F365" s="19">
        <v>25.8</v>
      </c>
      <c r="G365" s="16">
        <f t="shared" si="15"/>
        <v>25.8</v>
      </c>
      <c r="H365" s="59" t="e">
        <f t="shared" si="16"/>
        <v>#DIV/0!</v>
      </c>
    </row>
    <row r="366" spans="1:8" ht="23.25" customHeight="1">
      <c r="A366" s="41"/>
      <c r="B366" s="18" t="s">
        <v>651</v>
      </c>
      <c r="C366" s="48"/>
      <c r="D366" s="19"/>
      <c r="E366" s="19"/>
      <c r="F366" s="19">
        <v>8.5</v>
      </c>
      <c r="G366" s="16">
        <f t="shared" si="15"/>
        <v>8.5</v>
      </c>
      <c r="H366" s="59" t="e">
        <f t="shared" si="16"/>
        <v>#DIV/0!</v>
      </c>
    </row>
    <row r="367" spans="1:8" ht="22.5" customHeight="1">
      <c r="A367" s="41"/>
      <c r="B367" s="18" t="s">
        <v>218</v>
      </c>
      <c r="C367" s="48"/>
      <c r="D367" s="19">
        <v>106.9</v>
      </c>
      <c r="E367" s="19"/>
      <c r="F367" s="19"/>
      <c r="G367" s="16">
        <f t="shared" si="15"/>
        <v>0</v>
      </c>
      <c r="H367" s="59" t="e">
        <f t="shared" si="16"/>
        <v>#DIV/0!</v>
      </c>
    </row>
    <row r="368" spans="1:8" ht="26.25" customHeight="1">
      <c r="A368" s="41" t="s">
        <v>472</v>
      </c>
      <c r="B368" s="60" t="s">
        <v>318</v>
      </c>
      <c r="C368" s="66">
        <v>1030</v>
      </c>
      <c r="D368" s="19"/>
      <c r="E368" s="19"/>
      <c r="F368" s="15">
        <f>F369</f>
        <v>119.8</v>
      </c>
      <c r="G368" s="20">
        <f t="shared" si="15"/>
        <v>119.8</v>
      </c>
      <c r="H368" s="59" t="e">
        <f t="shared" si="16"/>
        <v>#DIV/0!</v>
      </c>
    </row>
    <row r="369" spans="1:15" ht="26.25" customHeight="1">
      <c r="A369" s="76" t="s">
        <v>473</v>
      </c>
      <c r="B369" s="43" t="s">
        <v>318</v>
      </c>
      <c r="C369" s="44">
        <v>1035</v>
      </c>
      <c r="D369" s="19"/>
      <c r="E369" s="19"/>
      <c r="F369" s="45">
        <f>F370+F371</f>
        <v>119.8</v>
      </c>
      <c r="G369" s="46">
        <f t="shared" si="15"/>
        <v>119.8</v>
      </c>
      <c r="H369" s="59" t="e">
        <f t="shared" si="16"/>
        <v>#DIV/0!</v>
      </c>
    </row>
    <row r="370" spans="1:15" ht="22.5" customHeight="1">
      <c r="A370" s="41"/>
      <c r="B370" s="18" t="s">
        <v>218</v>
      </c>
      <c r="C370" s="48"/>
      <c r="D370" s="19"/>
      <c r="E370" s="19"/>
      <c r="F370" s="19">
        <v>99.5</v>
      </c>
      <c r="G370" s="16">
        <f t="shared" si="15"/>
        <v>99.5</v>
      </c>
      <c r="H370" s="59" t="e">
        <f t="shared" si="16"/>
        <v>#DIV/0!</v>
      </c>
    </row>
    <row r="371" spans="1:15" ht="22.5" customHeight="1">
      <c r="A371" s="41"/>
      <c r="B371" s="18" t="s">
        <v>279</v>
      </c>
      <c r="C371" s="48"/>
      <c r="D371" s="19"/>
      <c r="E371" s="19"/>
      <c r="F371" s="19">
        <v>20.3</v>
      </c>
      <c r="G371" s="16">
        <f t="shared" si="15"/>
        <v>20.3</v>
      </c>
      <c r="H371" s="59" t="e">
        <f t="shared" si="16"/>
        <v>#DIV/0!</v>
      </c>
    </row>
    <row r="372" spans="1:15" s="5" customFormat="1" ht="52.5" customHeight="1">
      <c r="A372" s="41" t="s">
        <v>474</v>
      </c>
      <c r="B372" s="60" t="s">
        <v>489</v>
      </c>
      <c r="C372" s="66"/>
      <c r="D372" s="15">
        <f>D374</f>
        <v>143</v>
      </c>
      <c r="E372" s="15">
        <f>E374</f>
        <v>0</v>
      </c>
      <c r="F372" s="15">
        <f>F374</f>
        <v>0</v>
      </c>
      <c r="G372" s="20">
        <f t="shared" si="15"/>
        <v>0</v>
      </c>
      <c r="H372" s="178" t="e">
        <f t="shared" si="16"/>
        <v>#DIV/0!</v>
      </c>
      <c r="J372" s="98"/>
      <c r="N372" s="87"/>
      <c r="O372" s="87"/>
    </row>
    <row r="373" spans="1:15" ht="24.75" customHeight="1">
      <c r="A373" s="41"/>
      <c r="B373" s="18" t="s">
        <v>86</v>
      </c>
      <c r="C373" s="48"/>
      <c r="D373" s="19"/>
      <c r="E373" s="19"/>
      <c r="F373" s="19"/>
      <c r="G373" s="16"/>
      <c r="H373" s="59"/>
    </row>
    <row r="374" spans="1:15" s="5" customFormat="1" ht="27" customHeight="1">
      <c r="A374" s="41" t="s">
        <v>475</v>
      </c>
      <c r="B374" s="60" t="s">
        <v>90</v>
      </c>
      <c r="C374" s="66">
        <v>1010</v>
      </c>
      <c r="D374" s="15">
        <f>D375+D376</f>
        <v>143</v>
      </c>
      <c r="E374" s="15">
        <f>E375+E376</f>
        <v>0</v>
      </c>
      <c r="F374" s="15">
        <f>F375+F376</f>
        <v>0</v>
      </c>
      <c r="G374" s="20">
        <f t="shared" si="15"/>
        <v>0</v>
      </c>
      <c r="H374" s="178" t="e">
        <f t="shared" si="16"/>
        <v>#DIV/0!</v>
      </c>
      <c r="J374" s="98"/>
      <c r="N374" s="87"/>
      <c r="O374" s="87"/>
    </row>
    <row r="375" spans="1:15" s="94" customFormat="1" ht="24.75" customHeight="1">
      <c r="A375" s="76" t="s">
        <v>476</v>
      </c>
      <c r="B375" s="43" t="s">
        <v>490</v>
      </c>
      <c r="C375" s="44">
        <v>1012</v>
      </c>
      <c r="D375" s="45">
        <v>111.5</v>
      </c>
      <c r="E375" s="45"/>
      <c r="F375" s="45"/>
      <c r="G375" s="46">
        <f t="shared" si="15"/>
        <v>0</v>
      </c>
      <c r="H375" s="177" t="e">
        <f t="shared" si="16"/>
        <v>#DIV/0!</v>
      </c>
      <c r="J375" s="99"/>
      <c r="N375" s="97"/>
      <c r="O375" s="97"/>
    </row>
    <row r="376" spans="1:15" s="94" customFormat="1" ht="27" customHeight="1">
      <c r="A376" s="76" t="s">
        <v>708</v>
      </c>
      <c r="B376" s="43" t="s">
        <v>3</v>
      </c>
      <c r="C376" s="44">
        <v>1013</v>
      </c>
      <c r="D376" s="45">
        <v>31.5</v>
      </c>
      <c r="E376" s="45"/>
      <c r="F376" s="45"/>
      <c r="G376" s="46">
        <f t="shared" si="15"/>
        <v>0</v>
      </c>
      <c r="H376" s="177" t="e">
        <f t="shared" si="16"/>
        <v>#DIV/0!</v>
      </c>
      <c r="J376" s="99"/>
      <c r="N376" s="97"/>
      <c r="O376" s="97"/>
    </row>
    <row r="377" spans="1:15" ht="30" customHeight="1">
      <c r="A377" s="41" t="s">
        <v>709</v>
      </c>
      <c r="B377" s="190" t="s">
        <v>229</v>
      </c>
      <c r="C377" s="66"/>
      <c r="D377" s="15">
        <f>D379+D382</f>
        <v>3502.1000000000004</v>
      </c>
      <c r="E377" s="15">
        <f>E379+E382</f>
        <v>2860</v>
      </c>
      <c r="F377" s="15">
        <f>F379+F382</f>
        <v>6179.7999999999993</v>
      </c>
      <c r="G377" s="20">
        <f t="shared" si="15"/>
        <v>3319.7999999999993</v>
      </c>
      <c r="H377" s="20">
        <f t="shared" si="16"/>
        <v>216.07692307692307</v>
      </c>
    </row>
    <row r="378" spans="1:15" ht="27.75" customHeight="1">
      <c r="A378" s="41"/>
      <c r="B378" s="40" t="s">
        <v>86</v>
      </c>
      <c r="C378" s="66"/>
      <c r="D378" s="19"/>
      <c r="E378" s="19"/>
      <c r="F378" s="19"/>
      <c r="G378" s="16"/>
      <c r="H378" s="16"/>
    </row>
    <row r="379" spans="1:15" ht="27.75" customHeight="1">
      <c r="A379" s="41" t="s">
        <v>710</v>
      </c>
      <c r="B379" s="190" t="s">
        <v>90</v>
      </c>
      <c r="C379" s="66">
        <v>1010</v>
      </c>
      <c r="D379" s="15">
        <f t="shared" ref="D379:F380" si="17">D380</f>
        <v>2204.4</v>
      </c>
      <c r="E379" s="15">
        <f t="shared" si="17"/>
        <v>1800</v>
      </c>
      <c r="F379" s="15">
        <f t="shared" si="17"/>
        <v>5704.4</v>
      </c>
      <c r="G379" s="20">
        <f t="shared" si="15"/>
        <v>3904.3999999999996</v>
      </c>
      <c r="H379" s="20">
        <f t="shared" si="16"/>
        <v>316.9111111111111</v>
      </c>
      <c r="I379" s="140"/>
      <c r="J379" s="29"/>
      <c r="K379" s="29"/>
    </row>
    <row r="380" spans="1:15" ht="27.75" customHeight="1">
      <c r="A380" s="76" t="s">
        <v>711</v>
      </c>
      <c r="B380" s="77" t="s">
        <v>4</v>
      </c>
      <c r="C380" s="44">
        <v>1014</v>
      </c>
      <c r="D380" s="45">
        <f t="shared" si="17"/>
        <v>2204.4</v>
      </c>
      <c r="E380" s="45">
        <f t="shared" si="17"/>
        <v>1800</v>
      </c>
      <c r="F380" s="45">
        <f t="shared" si="17"/>
        <v>5704.4</v>
      </c>
      <c r="G380" s="46">
        <f t="shared" si="15"/>
        <v>3904.3999999999996</v>
      </c>
      <c r="H380" s="46">
        <f t="shared" si="16"/>
        <v>316.9111111111111</v>
      </c>
    </row>
    <row r="381" spans="1:15" ht="24.75" customHeight="1">
      <c r="A381" s="41"/>
      <c r="B381" s="84" t="s">
        <v>230</v>
      </c>
      <c r="C381" s="66"/>
      <c r="D381" s="19">
        <v>2204.4</v>
      </c>
      <c r="E381" s="19">
        <v>1800</v>
      </c>
      <c r="F381" s="19">
        <v>5704.4</v>
      </c>
      <c r="G381" s="20">
        <f t="shared" si="15"/>
        <v>3904.3999999999996</v>
      </c>
      <c r="H381" s="20">
        <f t="shared" si="16"/>
        <v>316.9111111111111</v>
      </c>
      <c r="I381" s="21"/>
    </row>
    <row r="382" spans="1:15" ht="27.75" customHeight="1">
      <c r="A382" s="41" t="s">
        <v>712</v>
      </c>
      <c r="B382" s="190" t="s">
        <v>92</v>
      </c>
      <c r="C382" s="66">
        <v>1020</v>
      </c>
      <c r="D382" s="15">
        <f t="shared" ref="D382:F383" si="18">D383</f>
        <v>1297.7</v>
      </c>
      <c r="E382" s="15">
        <f t="shared" si="18"/>
        <v>1060</v>
      </c>
      <c r="F382" s="15">
        <f t="shared" si="18"/>
        <v>475.4</v>
      </c>
      <c r="G382" s="20">
        <f t="shared" si="15"/>
        <v>-584.6</v>
      </c>
      <c r="H382" s="20">
        <f t="shared" si="16"/>
        <v>44.849056603773583</v>
      </c>
    </row>
    <row r="383" spans="1:15" ht="27.75" customHeight="1">
      <c r="A383" s="76" t="s">
        <v>713</v>
      </c>
      <c r="B383" s="77" t="s">
        <v>4</v>
      </c>
      <c r="C383" s="44">
        <v>1024</v>
      </c>
      <c r="D383" s="45">
        <f t="shared" si="18"/>
        <v>1297.7</v>
      </c>
      <c r="E383" s="45">
        <f t="shared" si="18"/>
        <v>1060</v>
      </c>
      <c r="F383" s="45">
        <f t="shared" si="18"/>
        <v>475.4</v>
      </c>
      <c r="G383" s="46">
        <f t="shared" si="15"/>
        <v>-584.6</v>
      </c>
      <c r="H383" s="46">
        <f t="shared" si="16"/>
        <v>44.849056603773583</v>
      </c>
    </row>
    <row r="384" spans="1:15" ht="27.75" customHeight="1">
      <c r="A384" s="25"/>
      <c r="B384" s="84" t="s">
        <v>282</v>
      </c>
      <c r="C384" s="4"/>
      <c r="D384" s="85">
        <v>1297.7</v>
      </c>
      <c r="E384" s="85">
        <v>1060</v>
      </c>
      <c r="F384" s="85">
        <v>475.4</v>
      </c>
      <c r="G384" s="179">
        <f t="shared" si="15"/>
        <v>-584.6</v>
      </c>
      <c r="H384" s="179">
        <f t="shared" si="16"/>
        <v>44.849056603773583</v>
      </c>
    </row>
    <row r="385" spans="1:15" ht="63.75" customHeight="1">
      <c r="B385" s="86" t="s">
        <v>246</v>
      </c>
      <c r="C385" s="32"/>
      <c r="D385" s="211"/>
      <c r="E385" s="211"/>
      <c r="F385" s="203" t="s">
        <v>204</v>
      </c>
      <c r="G385" s="203"/>
      <c r="H385" s="203"/>
    </row>
    <row r="386" spans="1:15" ht="34.5" customHeight="1">
      <c r="B386" s="187" t="s">
        <v>60</v>
      </c>
      <c r="C386" s="2"/>
      <c r="D386" s="207" t="s">
        <v>66</v>
      </c>
      <c r="E386" s="207"/>
      <c r="F386" s="204" t="s">
        <v>17</v>
      </c>
      <c r="G386" s="204"/>
      <c r="H386" s="204"/>
    </row>
    <row r="387" spans="1:15" ht="29.25" customHeight="1">
      <c r="B387" s="7"/>
      <c r="D387" s="126"/>
      <c r="E387" s="6"/>
      <c r="F387" s="6"/>
    </row>
    <row r="388" spans="1:15" ht="35.25" customHeight="1">
      <c r="B388" s="7"/>
      <c r="D388" s="126"/>
      <c r="E388" s="6"/>
      <c r="F388" s="6"/>
    </row>
    <row r="389" spans="1:15" ht="35.25" customHeight="1">
      <c r="B389" s="7"/>
      <c r="D389" s="126"/>
      <c r="E389" s="6"/>
      <c r="F389" s="6"/>
    </row>
    <row r="390" spans="1:15" s="5" customFormat="1" ht="39" customHeight="1">
      <c r="A390" s="2"/>
      <c r="B390" s="7"/>
      <c r="C390" s="187"/>
      <c r="D390" s="126"/>
      <c r="E390" s="6"/>
      <c r="F390" s="6"/>
      <c r="G390" s="2"/>
      <c r="H390" s="2"/>
      <c r="J390" s="98"/>
      <c r="N390" s="87"/>
      <c r="O390" s="87"/>
    </row>
    <row r="391" spans="1:15" s="5" customFormat="1" ht="32.25" customHeight="1">
      <c r="A391" s="2"/>
      <c r="B391" s="7"/>
      <c r="C391" s="187"/>
      <c r="D391" s="126"/>
      <c r="E391" s="6"/>
      <c r="F391" s="6"/>
      <c r="G391" s="2"/>
      <c r="H391" s="2"/>
      <c r="J391" s="98"/>
      <c r="N391" s="87"/>
      <c r="O391" s="87"/>
    </row>
    <row r="392" spans="1:15" s="5" customFormat="1" ht="31.5" customHeight="1">
      <c r="A392" s="2"/>
      <c r="B392" s="7"/>
      <c r="C392" s="187"/>
      <c r="D392" s="126"/>
      <c r="E392" s="6"/>
      <c r="F392" s="6"/>
      <c r="G392" s="2"/>
      <c r="H392" s="2"/>
      <c r="J392" s="98"/>
      <c r="N392" s="87"/>
      <c r="O392" s="87"/>
    </row>
    <row r="393" spans="1:15" s="5" customFormat="1" ht="31.5" customHeight="1">
      <c r="A393" s="2"/>
      <c r="B393" s="7"/>
      <c r="C393" s="187"/>
      <c r="D393" s="126"/>
      <c r="E393" s="6"/>
      <c r="F393" s="6"/>
      <c r="G393" s="2"/>
      <c r="H393" s="2"/>
      <c r="J393" s="98"/>
      <c r="N393" s="87"/>
      <c r="O393" s="87"/>
    </row>
    <row r="394" spans="1:15" s="5" customFormat="1" ht="29.25" customHeight="1">
      <c r="A394" s="2"/>
      <c r="B394" s="7"/>
      <c r="C394" s="187"/>
      <c r="D394" s="126"/>
      <c r="E394" s="6"/>
      <c r="F394" s="6"/>
      <c r="G394" s="2"/>
      <c r="H394" s="2"/>
      <c r="J394" s="98"/>
      <c r="N394" s="87"/>
      <c r="O394" s="87"/>
    </row>
    <row r="395" spans="1:15" s="5" customFormat="1" ht="35.25" customHeight="1">
      <c r="A395" s="2"/>
      <c r="B395" s="7"/>
      <c r="C395" s="187"/>
      <c r="D395" s="126"/>
      <c r="E395" s="6"/>
      <c r="F395" s="6"/>
      <c r="G395" s="2"/>
      <c r="H395" s="2"/>
      <c r="J395" s="98"/>
      <c r="N395" s="87"/>
      <c r="O395" s="87"/>
    </row>
    <row r="396" spans="1:15" s="5" customFormat="1" ht="41.25" customHeight="1">
      <c r="A396" s="2"/>
      <c r="B396" s="7"/>
      <c r="C396" s="187"/>
      <c r="D396" s="126"/>
      <c r="E396" s="6"/>
      <c r="F396" s="6"/>
      <c r="G396" s="2"/>
      <c r="H396" s="2"/>
      <c r="J396" s="98"/>
      <c r="N396" s="87"/>
      <c r="O396" s="87"/>
    </row>
    <row r="397" spans="1:15" s="5" customFormat="1" ht="35.25" customHeight="1">
      <c r="A397" s="2"/>
      <c r="B397" s="7"/>
      <c r="C397" s="187"/>
      <c r="D397" s="126"/>
      <c r="E397" s="6"/>
      <c r="F397" s="6"/>
      <c r="G397" s="2"/>
      <c r="H397" s="2"/>
      <c r="J397" s="98"/>
      <c r="N397" s="87"/>
      <c r="O397" s="87"/>
    </row>
    <row r="398" spans="1:15" s="5" customFormat="1" ht="41.25" customHeight="1">
      <c r="A398" s="2"/>
      <c r="B398" s="7"/>
      <c r="C398" s="187"/>
      <c r="D398" s="126"/>
      <c r="E398" s="6"/>
      <c r="F398" s="6"/>
      <c r="G398" s="2"/>
      <c r="H398" s="2"/>
      <c r="J398" s="98"/>
      <c r="N398" s="87"/>
      <c r="O398" s="87"/>
    </row>
    <row r="399" spans="1:15" s="5" customFormat="1" ht="37.5" customHeight="1">
      <c r="A399" s="2"/>
      <c r="B399" s="7"/>
      <c r="C399" s="187"/>
      <c r="D399" s="126"/>
      <c r="E399" s="6"/>
      <c r="F399" s="6"/>
      <c r="G399" s="2"/>
      <c r="H399" s="2"/>
      <c r="J399" s="98"/>
      <c r="N399" s="87"/>
      <c r="O399" s="87"/>
    </row>
    <row r="400" spans="1:15" s="5" customFormat="1" ht="37.5" customHeight="1">
      <c r="A400" s="2"/>
      <c r="B400" s="7"/>
      <c r="C400" s="187"/>
      <c r="D400" s="126"/>
      <c r="E400" s="6"/>
      <c r="F400" s="6"/>
      <c r="G400" s="2"/>
      <c r="H400" s="2"/>
      <c r="J400" s="98"/>
      <c r="N400" s="87"/>
      <c r="O400" s="87"/>
    </row>
    <row r="401" spans="1:15" s="5" customFormat="1" ht="39" customHeight="1">
      <c r="A401" s="2"/>
      <c r="B401" s="7"/>
      <c r="C401" s="187"/>
      <c r="D401" s="126"/>
      <c r="E401" s="6"/>
      <c r="F401" s="6"/>
      <c r="G401" s="2"/>
      <c r="H401" s="2"/>
      <c r="J401" s="98"/>
      <c r="N401" s="87"/>
      <c r="O401" s="87"/>
    </row>
    <row r="402" spans="1:15" s="5" customFormat="1" ht="35.25" customHeight="1">
      <c r="A402" s="2"/>
      <c r="B402" s="7"/>
      <c r="C402" s="187"/>
      <c r="D402" s="126"/>
      <c r="E402" s="6"/>
      <c r="F402" s="6"/>
      <c r="G402" s="2"/>
      <c r="H402" s="2"/>
      <c r="J402" s="98"/>
      <c r="N402" s="87"/>
      <c r="O402" s="87"/>
    </row>
    <row r="403" spans="1:15" s="5" customFormat="1" ht="37.5" customHeight="1">
      <c r="A403" s="2"/>
      <c r="B403" s="7"/>
      <c r="C403" s="187"/>
      <c r="D403" s="126"/>
      <c r="E403" s="6"/>
      <c r="F403" s="6"/>
      <c r="G403" s="2"/>
      <c r="H403" s="2"/>
      <c r="J403" s="98"/>
      <c r="N403" s="87"/>
      <c r="O403" s="87"/>
    </row>
    <row r="404" spans="1:15" s="5" customFormat="1" ht="31.5" customHeight="1">
      <c r="A404" s="2"/>
      <c r="B404" s="7"/>
      <c r="C404" s="187"/>
      <c r="D404" s="126"/>
      <c r="E404" s="6"/>
      <c r="F404" s="6"/>
      <c r="G404" s="2"/>
      <c r="H404" s="2"/>
      <c r="J404" s="98"/>
      <c r="N404" s="87"/>
      <c r="O404" s="87"/>
    </row>
    <row r="405" spans="1:15" s="5" customFormat="1" ht="31.5" customHeight="1">
      <c r="A405" s="2"/>
      <c r="B405" s="7"/>
      <c r="C405" s="187"/>
      <c r="D405" s="126"/>
      <c r="E405" s="6"/>
      <c r="F405" s="6"/>
      <c r="G405" s="2"/>
      <c r="H405" s="2"/>
      <c r="J405" s="98"/>
      <c r="N405" s="87"/>
      <c r="O405" s="87"/>
    </row>
    <row r="406" spans="1:15">
      <c r="B406" s="7"/>
      <c r="D406" s="126"/>
      <c r="E406" s="6"/>
      <c r="F406" s="6"/>
    </row>
    <row r="407" spans="1:15" ht="24.75" customHeight="1">
      <c r="B407" s="7"/>
      <c r="D407" s="126"/>
      <c r="E407" s="6"/>
      <c r="F407" s="6"/>
    </row>
    <row r="408" spans="1:15">
      <c r="B408" s="7"/>
      <c r="D408" s="126"/>
      <c r="E408" s="6"/>
      <c r="F408" s="6"/>
    </row>
    <row r="409" spans="1:15">
      <c r="B409" s="7"/>
      <c r="D409" s="126"/>
      <c r="E409" s="6"/>
      <c r="F409" s="6"/>
    </row>
    <row r="410" spans="1:15">
      <c r="B410" s="7"/>
      <c r="D410" s="126"/>
      <c r="E410" s="6"/>
      <c r="F410" s="6"/>
    </row>
    <row r="411" spans="1:15">
      <c r="B411" s="7"/>
      <c r="D411" s="126"/>
      <c r="E411" s="6"/>
      <c r="F411" s="6"/>
    </row>
    <row r="412" spans="1:15">
      <c r="B412" s="7"/>
      <c r="D412" s="126"/>
      <c r="E412" s="6"/>
      <c r="F412" s="6"/>
    </row>
    <row r="413" spans="1:15">
      <c r="B413" s="7"/>
      <c r="D413" s="126"/>
      <c r="E413" s="6"/>
      <c r="F413" s="6"/>
    </row>
    <row r="414" spans="1:15">
      <c r="B414" s="7"/>
      <c r="D414" s="126"/>
      <c r="E414" s="6"/>
      <c r="F414" s="6"/>
    </row>
    <row r="415" spans="1:15">
      <c r="B415" s="7"/>
      <c r="D415" s="126"/>
      <c r="E415" s="6"/>
      <c r="F415" s="6"/>
    </row>
    <row r="416" spans="1:15">
      <c r="B416" s="7"/>
      <c r="D416" s="126"/>
      <c r="E416" s="6"/>
      <c r="F416" s="6"/>
    </row>
    <row r="417" spans="2:6">
      <c r="B417" s="7"/>
      <c r="D417" s="126"/>
      <c r="E417" s="6"/>
      <c r="F417" s="6"/>
    </row>
    <row r="418" spans="2:6">
      <c r="B418" s="7"/>
      <c r="D418" s="126"/>
      <c r="E418" s="6"/>
      <c r="F418" s="6"/>
    </row>
    <row r="419" spans="2:6">
      <c r="B419" s="7"/>
      <c r="D419" s="126"/>
      <c r="E419" s="6"/>
      <c r="F419" s="6"/>
    </row>
    <row r="420" spans="2:6">
      <c r="B420" s="7"/>
      <c r="D420" s="126"/>
      <c r="E420" s="6"/>
      <c r="F420" s="6"/>
    </row>
    <row r="421" spans="2:6">
      <c r="B421" s="7"/>
      <c r="D421" s="126"/>
      <c r="E421" s="6"/>
      <c r="F421" s="6"/>
    </row>
    <row r="422" spans="2:6">
      <c r="B422" s="7"/>
      <c r="D422" s="126"/>
      <c r="E422" s="6"/>
      <c r="F422" s="6"/>
    </row>
    <row r="423" spans="2:6">
      <c r="B423" s="7"/>
      <c r="D423" s="126"/>
      <c r="E423" s="6"/>
      <c r="F423" s="6"/>
    </row>
    <row r="424" spans="2:6">
      <c r="B424" s="7"/>
      <c r="D424" s="126"/>
      <c r="E424" s="6"/>
      <c r="F424" s="6"/>
    </row>
    <row r="425" spans="2:6">
      <c r="B425" s="7"/>
      <c r="D425" s="126"/>
      <c r="E425" s="6"/>
      <c r="F425" s="6"/>
    </row>
    <row r="426" spans="2:6">
      <c r="B426" s="7"/>
      <c r="D426" s="126"/>
      <c r="E426" s="6"/>
      <c r="F426" s="6"/>
    </row>
    <row r="427" spans="2:6">
      <c r="B427" s="7"/>
      <c r="D427" s="126"/>
      <c r="E427" s="6"/>
      <c r="F427" s="6"/>
    </row>
    <row r="428" spans="2:6">
      <c r="B428" s="7"/>
      <c r="D428" s="126"/>
      <c r="E428" s="6"/>
      <c r="F428" s="6"/>
    </row>
    <row r="429" spans="2:6">
      <c r="B429" s="7"/>
      <c r="D429" s="126"/>
      <c r="E429" s="6"/>
      <c r="F429" s="6"/>
    </row>
    <row r="430" spans="2:6">
      <c r="B430" s="7"/>
      <c r="D430" s="126"/>
      <c r="E430" s="6"/>
      <c r="F430" s="6"/>
    </row>
    <row r="431" spans="2:6">
      <c r="B431" s="7"/>
      <c r="D431" s="126"/>
      <c r="E431" s="6"/>
      <c r="F431" s="6"/>
    </row>
    <row r="432" spans="2:6">
      <c r="B432" s="7"/>
      <c r="D432" s="126"/>
      <c r="E432" s="6"/>
      <c r="F432" s="6"/>
    </row>
    <row r="433" spans="2:6">
      <c r="B433" s="7"/>
      <c r="D433" s="126"/>
      <c r="E433" s="6"/>
      <c r="F433" s="6"/>
    </row>
    <row r="434" spans="2:6">
      <c r="B434" s="7"/>
      <c r="D434" s="126"/>
      <c r="E434" s="6"/>
      <c r="F434" s="6"/>
    </row>
    <row r="435" spans="2:6">
      <c r="B435" s="7"/>
      <c r="D435" s="126"/>
      <c r="E435" s="6"/>
      <c r="F435" s="6"/>
    </row>
    <row r="436" spans="2:6">
      <c r="B436" s="7"/>
      <c r="D436" s="126"/>
      <c r="E436" s="6"/>
      <c r="F436" s="6"/>
    </row>
    <row r="437" spans="2:6">
      <c r="B437" s="7"/>
      <c r="D437" s="126"/>
      <c r="E437" s="6"/>
      <c r="F437" s="6"/>
    </row>
    <row r="438" spans="2:6">
      <c r="B438" s="7"/>
      <c r="D438" s="126"/>
      <c r="E438" s="6"/>
      <c r="F438" s="6"/>
    </row>
    <row r="439" spans="2:6">
      <c r="B439" s="7"/>
      <c r="D439" s="126"/>
      <c r="E439" s="6"/>
      <c r="F439" s="6"/>
    </row>
    <row r="440" spans="2:6">
      <c r="B440" s="7"/>
      <c r="D440" s="126"/>
      <c r="E440" s="6"/>
      <c r="F440" s="6"/>
    </row>
    <row r="441" spans="2:6">
      <c r="B441" s="7"/>
    </row>
    <row r="442" spans="2:6">
      <c r="B442" s="8"/>
    </row>
    <row r="443" spans="2:6">
      <c r="B443" s="8"/>
    </row>
    <row r="444" spans="2:6">
      <c r="B444" s="8"/>
    </row>
    <row r="445" spans="2:6">
      <c r="B445" s="8"/>
    </row>
    <row r="446" spans="2:6">
      <c r="B446" s="8"/>
    </row>
    <row r="447" spans="2:6">
      <c r="B447" s="8"/>
    </row>
    <row r="448" spans="2:6">
      <c r="B448" s="8"/>
    </row>
    <row r="449" spans="2:2">
      <c r="B449" s="8"/>
    </row>
    <row r="450" spans="2:2">
      <c r="B450" s="8"/>
    </row>
    <row r="451" spans="2:2">
      <c r="B451" s="8"/>
    </row>
    <row r="452" spans="2:2">
      <c r="B452" s="8"/>
    </row>
    <row r="453" spans="2:2">
      <c r="B453" s="8"/>
    </row>
    <row r="454" spans="2:2">
      <c r="B454" s="8"/>
    </row>
    <row r="455" spans="2:2">
      <c r="B455" s="8"/>
    </row>
    <row r="456" spans="2:2">
      <c r="B456" s="8"/>
    </row>
    <row r="457" spans="2:2">
      <c r="B457" s="8"/>
    </row>
    <row r="458" spans="2:2">
      <c r="B458" s="8"/>
    </row>
    <row r="459" spans="2:2">
      <c r="B459" s="8"/>
    </row>
    <row r="460" spans="2:2">
      <c r="B460" s="8"/>
    </row>
    <row r="461" spans="2:2">
      <c r="B461" s="8"/>
    </row>
    <row r="462" spans="2:2">
      <c r="B462" s="8"/>
    </row>
    <row r="463" spans="2:2">
      <c r="B463" s="8"/>
    </row>
    <row r="464" spans="2:2">
      <c r="B464" s="8"/>
    </row>
    <row r="465" spans="2:2">
      <c r="B465" s="8"/>
    </row>
    <row r="466" spans="2:2">
      <c r="B466" s="8"/>
    </row>
    <row r="467" spans="2:2">
      <c r="B467" s="8"/>
    </row>
    <row r="468" spans="2:2">
      <c r="B468" s="8"/>
    </row>
    <row r="469" spans="2:2">
      <c r="B469" s="8"/>
    </row>
    <row r="470" spans="2:2">
      <c r="B470" s="8"/>
    </row>
    <row r="471" spans="2:2">
      <c r="B471" s="8"/>
    </row>
    <row r="472" spans="2:2">
      <c r="B472" s="8"/>
    </row>
    <row r="473" spans="2:2">
      <c r="B473" s="8"/>
    </row>
    <row r="474" spans="2:2">
      <c r="B474" s="8"/>
    </row>
    <row r="475" spans="2:2">
      <c r="B475" s="8"/>
    </row>
    <row r="476" spans="2:2">
      <c r="B476" s="8"/>
    </row>
    <row r="477" spans="2:2">
      <c r="B477" s="8"/>
    </row>
    <row r="478" spans="2:2">
      <c r="B478" s="8"/>
    </row>
    <row r="479" spans="2:2">
      <c r="B479" s="8"/>
    </row>
    <row r="480" spans="2:2">
      <c r="B480" s="8"/>
    </row>
    <row r="481" spans="2:2">
      <c r="B481" s="8"/>
    </row>
    <row r="482" spans="2:2">
      <c r="B482" s="8"/>
    </row>
    <row r="483" spans="2:2">
      <c r="B483" s="8"/>
    </row>
    <row r="484" spans="2:2">
      <c r="B484" s="8"/>
    </row>
    <row r="485" spans="2:2">
      <c r="B485" s="8"/>
    </row>
    <row r="486" spans="2:2">
      <c r="B486" s="8"/>
    </row>
    <row r="487" spans="2:2">
      <c r="B487" s="8"/>
    </row>
    <row r="488" spans="2:2">
      <c r="B488" s="8"/>
    </row>
    <row r="489" spans="2:2">
      <c r="B489" s="8"/>
    </row>
    <row r="490" spans="2:2">
      <c r="B490" s="8"/>
    </row>
    <row r="491" spans="2:2">
      <c r="B491" s="8"/>
    </row>
    <row r="492" spans="2:2">
      <c r="B492" s="8"/>
    </row>
    <row r="493" spans="2:2">
      <c r="B493" s="8"/>
    </row>
    <row r="494" spans="2:2">
      <c r="B494" s="8"/>
    </row>
    <row r="495" spans="2:2">
      <c r="B495" s="8"/>
    </row>
    <row r="496" spans="2:2">
      <c r="B496" s="8"/>
    </row>
    <row r="497" spans="2:2">
      <c r="B497" s="8"/>
    </row>
    <row r="498" spans="2:2">
      <c r="B498" s="8"/>
    </row>
    <row r="499" spans="2:2">
      <c r="B499" s="8"/>
    </row>
    <row r="500" spans="2:2">
      <c r="B500" s="8"/>
    </row>
    <row r="501" spans="2:2">
      <c r="B501" s="8"/>
    </row>
    <row r="502" spans="2:2">
      <c r="B502" s="8"/>
    </row>
    <row r="503" spans="2:2">
      <c r="B503" s="8"/>
    </row>
    <row r="504" spans="2:2">
      <c r="B504" s="8"/>
    </row>
    <row r="505" spans="2:2">
      <c r="B505" s="8"/>
    </row>
    <row r="506" spans="2:2">
      <c r="B506" s="8"/>
    </row>
    <row r="507" spans="2:2">
      <c r="B507" s="8"/>
    </row>
    <row r="508" spans="2:2">
      <c r="B508" s="8"/>
    </row>
    <row r="509" spans="2:2">
      <c r="B509" s="8"/>
    </row>
    <row r="510" spans="2:2">
      <c r="B510" s="8"/>
    </row>
    <row r="511" spans="2:2">
      <c r="B511" s="8"/>
    </row>
    <row r="512" spans="2:2">
      <c r="B512" s="8"/>
    </row>
    <row r="513" spans="2:2">
      <c r="B513" s="8"/>
    </row>
    <row r="514" spans="2:2">
      <c r="B514" s="8"/>
    </row>
    <row r="515" spans="2:2">
      <c r="B515" s="8"/>
    </row>
    <row r="516" spans="2:2">
      <c r="B516" s="8"/>
    </row>
    <row r="517" spans="2:2">
      <c r="B517" s="8"/>
    </row>
    <row r="518" spans="2:2">
      <c r="B518" s="8"/>
    </row>
    <row r="519" spans="2:2">
      <c r="B519" s="8"/>
    </row>
    <row r="520" spans="2:2">
      <c r="B520" s="8"/>
    </row>
    <row r="521" spans="2:2">
      <c r="B521" s="8"/>
    </row>
    <row r="522" spans="2:2">
      <c r="B522" s="8"/>
    </row>
    <row r="523" spans="2:2">
      <c r="B523" s="8"/>
    </row>
    <row r="524" spans="2:2">
      <c r="B524" s="8"/>
    </row>
    <row r="525" spans="2:2">
      <c r="B525" s="8"/>
    </row>
    <row r="526" spans="2:2">
      <c r="B526" s="8"/>
    </row>
    <row r="527" spans="2:2">
      <c r="B527" s="8"/>
    </row>
    <row r="528" spans="2:2">
      <c r="B528" s="8"/>
    </row>
    <row r="529" spans="2:2">
      <c r="B529" s="8"/>
    </row>
    <row r="530" spans="2:2">
      <c r="B530" s="8"/>
    </row>
    <row r="531" spans="2:2">
      <c r="B531" s="8"/>
    </row>
    <row r="532" spans="2:2">
      <c r="B532" s="8"/>
    </row>
    <row r="533" spans="2:2">
      <c r="B533" s="8"/>
    </row>
    <row r="534" spans="2:2">
      <c r="B534" s="8"/>
    </row>
    <row r="535" spans="2:2">
      <c r="B535" s="8"/>
    </row>
    <row r="536" spans="2:2">
      <c r="B536" s="8"/>
    </row>
    <row r="537" spans="2:2">
      <c r="B537" s="8"/>
    </row>
    <row r="538" spans="2:2">
      <c r="B538" s="8"/>
    </row>
    <row r="539" spans="2:2">
      <c r="B539" s="8"/>
    </row>
    <row r="540" spans="2:2">
      <c r="B540" s="8"/>
    </row>
    <row r="541" spans="2:2">
      <c r="B541" s="8"/>
    </row>
    <row r="542" spans="2:2">
      <c r="B542" s="8"/>
    </row>
    <row r="543" spans="2:2">
      <c r="B543" s="8"/>
    </row>
    <row r="544" spans="2:2">
      <c r="B544" s="8"/>
    </row>
    <row r="545" spans="2:2">
      <c r="B545" s="8"/>
    </row>
    <row r="546" spans="2:2">
      <c r="B546" s="8"/>
    </row>
    <row r="547" spans="2:2">
      <c r="B547" s="8"/>
    </row>
    <row r="548" spans="2:2">
      <c r="B548" s="8"/>
    </row>
    <row r="549" spans="2:2">
      <c r="B549" s="8"/>
    </row>
    <row r="550" spans="2:2">
      <c r="B550" s="8"/>
    </row>
    <row r="551" spans="2:2">
      <c r="B551" s="8"/>
    </row>
    <row r="552" spans="2:2">
      <c r="B552" s="8"/>
    </row>
    <row r="553" spans="2:2">
      <c r="B553" s="8"/>
    </row>
    <row r="554" spans="2:2">
      <c r="B554" s="8"/>
    </row>
    <row r="555" spans="2:2">
      <c r="B555" s="8"/>
    </row>
    <row r="556" spans="2:2">
      <c r="B556" s="8"/>
    </row>
    <row r="557" spans="2:2">
      <c r="B557" s="8"/>
    </row>
    <row r="558" spans="2:2">
      <c r="B558" s="8"/>
    </row>
    <row r="559" spans="2:2">
      <c r="B559" s="8"/>
    </row>
    <row r="560" spans="2:2">
      <c r="B560" s="8"/>
    </row>
    <row r="561" spans="2:2">
      <c r="B561" s="8"/>
    </row>
    <row r="562" spans="2:2">
      <c r="B562" s="8"/>
    </row>
    <row r="563" spans="2:2">
      <c r="B563" s="8"/>
    </row>
    <row r="564" spans="2:2">
      <c r="B564" s="8"/>
    </row>
    <row r="565" spans="2:2">
      <c r="B565" s="8"/>
    </row>
    <row r="566" spans="2:2">
      <c r="B566" s="8"/>
    </row>
    <row r="567" spans="2:2">
      <c r="B567" s="8"/>
    </row>
    <row r="568" spans="2:2">
      <c r="B568" s="8"/>
    </row>
    <row r="569" spans="2:2">
      <c r="B569" s="8"/>
    </row>
    <row r="570" spans="2:2">
      <c r="B570" s="8"/>
    </row>
    <row r="571" spans="2:2">
      <c r="B571" s="8"/>
    </row>
    <row r="572" spans="2:2">
      <c r="B572" s="8"/>
    </row>
    <row r="573" spans="2:2">
      <c r="B573" s="8"/>
    </row>
    <row r="574" spans="2:2">
      <c r="B574" s="8"/>
    </row>
    <row r="575" spans="2:2">
      <c r="B575" s="8"/>
    </row>
    <row r="576" spans="2:2">
      <c r="B576" s="8"/>
    </row>
    <row r="577" spans="2:2">
      <c r="B577" s="8"/>
    </row>
    <row r="578" spans="2:2">
      <c r="B578" s="8"/>
    </row>
    <row r="579" spans="2:2">
      <c r="B579" s="8"/>
    </row>
    <row r="580" spans="2:2">
      <c r="B580" s="8"/>
    </row>
    <row r="581" spans="2:2">
      <c r="B581" s="8"/>
    </row>
    <row r="582" spans="2:2">
      <c r="B582" s="8"/>
    </row>
    <row r="583" spans="2:2">
      <c r="B583" s="8"/>
    </row>
    <row r="584" spans="2:2">
      <c r="B584" s="8"/>
    </row>
    <row r="585" spans="2:2">
      <c r="B585" s="8"/>
    </row>
    <row r="586" spans="2:2">
      <c r="B586" s="8"/>
    </row>
    <row r="587" spans="2:2">
      <c r="B587" s="8"/>
    </row>
    <row r="588" spans="2:2">
      <c r="B588" s="8"/>
    </row>
    <row r="589" spans="2:2">
      <c r="B589" s="8"/>
    </row>
    <row r="590" spans="2:2">
      <c r="B590" s="8"/>
    </row>
    <row r="591" spans="2:2">
      <c r="B591" s="8"/>
    </row>
    <row r="592" spans="2:2">
      <c r="B592" s="8"/>
    </row>
    <row r="593" spans="2:2">
      <c r="B593" s="8"/>
    </row>
    <row r="594" spans="2:2">
      <c r="B594" s="8"/>
    </row>
    <row r="595" spans="2:2">
      <c r="B595" s="8"/>
    </row>
    <row r="596" spans="2:2">
      <c r="B596" s="8"/>
    </row>
    <row r="597" spans="2:2">
      <c r="B597" s="8"/>
    </row>
    <row r="598" spans="2:2">
      <c r="B598" s="8"/>
    </row>
    <row r="599" spans="2:2">
      <c r="B599" s="8"/>
    </row>
    <row r="600" spans="2:2">
      <c r="B600" s="8"/>
    </row>
    <row r="601" spans="2:2">
      <c r="B601" s="8"/>
    </row>
    <row r="602" spans="2:2">
      <c r="B602" s="8"/>
    </row>
    <row r="603" spans="2:2">
      <c r="B603" s="8"/>
    </row>
    <row r="604" spans="2:2">
      <c r="B604" s="8"/>
    </row>
    <row r="605" spans="2:2">
      <c r="B605" s="8"/>
    </row>
    <row r="606" spans="2:2">
      <c r="B606" s="8"/>
    </row>
    <row r="607" spans="2:2">
      <c r="B607" s="8"/>
    </row>
    <row r="608" spans="2:2">
      <c r="B608" s="8"/>
    </row>
  </sheetData>
  <mergeCells count="6">
    <mergeCell ref="D385:E385"/>
    <mergeCell ref="D386:E386"/>
    <mergeCell ref="B2:H2"/>
    <mergeCell ref="A6:B6"/>
    <mergeCell ref="F385:H385"/>
    <mergeCell ref="F386:H386"/>
  </mergeCells>
  <pageMargins left="0.39370078740157483" right="0.39370078740157483" top="0.59055118110236227" bottom="0.39370078740157483" header="0.31496062992125984" footer="0.31496062992125984"/>
  <pageSetup paperSize="9" scale="63" fitToHeight="15" orientation="landscape" r:id="rId1"/>
  <rowBreaks count="4" manualBreakCount="4">
    <brk id="56" max="7" man="1"/>
    <brk id="173" max="7" man="1"/>
    <brk id="236" max="7" man="1"/>
    <brk id="322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P412"/>
  <sheetViews>
    <sheetView view="pageBreakPreview" topLeftCell="A128" zoomScale="70" zoomScaleNormal="70" zoomScaleSheetLayoutView="70" workbookViewId="0">
      <selection activeCell="M146" sqref="M146"/>
    </sheetView>
  </sheetViews>
  <sheetFormatPr defaultRowHeight="18.75"/>
  <cols>
    <col min="1" max="1" width="66.5703125" style="2" customWidth="1"/>
    <col min="2" max="2" width="12" style="187" customWidth="1"/>
    <col min="3" max="3" width="16.140625" style="187" customWidth="1"/>
    <col min="4" max="4" width="16.7109375" style="187" customWidth="1"/>
    <col min="5" max="5" width="16.140625" style="187" customWidth="1"/>
    <col min="6" max="6" width="18.140625" style="187" customWidth="1"/>
    <col min="7" max="7" width="17.28515625" style="2" customWidth="1"/>
    <col min="8" max="8" width="11.85546875" style="2" bestFit="1" customWidth="1"/>
    <col min="9" max="9" width="9.140625" style="2"/>
    <col min="10" max="10" width="10" style="2" bestFit="1" customWidth="1"/>
    <col min="11" max="16384" width="9.140625" style="2"/>
  </cols>
  <sheetData>
    <row r="2" spans="1:16" ht="20.25">
      <c r="A2" s="205" t="s">
        <v>656</v>
      </c>
      <c r="B2" s="205"/>
      <c r="C2" s="205"/>
      <c r="D2" s="205"/>
      <c r="E2" s="205"/>
      <c r="F2" s="205"/>
    </row>
    <row r="3" spans="1:16">
      <c r="A3" s="193"/>
      <c r="B3" s="3"/>
      <c r="C3" s="193"/>
      <c r="D3" s="193"/>
      <c r="E3" s="193"/>
      <c r="F3" s="3"/>
      <c r="G3" s="2" t="s">
        <v>65</v>
      </c>
    </row>
    <row r="4" spans="1:16" ht="61.5" customHeight="1">
      <c r="A4" s="150" t="s">
        <v>23</v>
      </c>
      <c r="B4" s="149" t="s">
        <v>5</v>
      </c>
      <c r="C4" s="149" t="s">
        <v>657</v>
      </c>
      <c r="D4" s="149" t="s">
        <v>706</v>
      </c>
      <c r="E4" s="149" t="s">
        <v>707</v>
      </c>
      <c r="F4" s="151" t="s">
        <v>110</v>
      </c>
      <c r="G4" s="152" t="s">
        <v>658</v>
      </c>
    </row>
    <row r="5" spans="1:16" ht="19.5" customHeight="1">
      <c r="A5" s="4">
        <v>1</v>
      </c>
      <c r="B5" s="12">
        <v>2</v>
      </c>
      <c r="C5" s="12">
        <v>3</v>
      </c>
      <c r="D5" s="12">
        <v>4</v>
      </c>
      <c r="E5" s="12">
        <v>5</v>
      </c>
      <c r="F5" s="12">
        <v>6</v>
      </c>
      <c r="G5" s="4">
        <v>7</v>
      </c>
    </row>
    <row r="6" spans="1:16" ht="26.25" customHeight="1">
      <c r="A6" s="153" t="s">
        <v>659</v>
      </c>
      <c r="B6" s="154"/>
      <c r="C6" s="155"/>
      <c r="D6" s="155"/>
      <c r="E6" s="155"/>
      <c r="F6" s="155"/>
      <c r="G6" s="156"/>
    </row>
    <row r="7" spans="1:16" ht="33" customHeight="1">
      <c r="A7" s="157" t="s">
        <v>660</v>
      </c>
      <c r="B7" s="158"/>
      <c r="C7" s="159">
        <f>C8+C14+C18</f>
        <v>101382.40000000001</v>
      </c>
      <c r="D7" s="159">
        <f>D8+D14+D18</f>
        <v>146309.90000000002</v>
      </c>
      <c r="E7" s="159">
        <f>E8+E14+E18</f>
        <v>143776.4</v>
      </c>
      <c r="F7" s="160"/>
      <c r="G7" s="161"/>
    </row>
    <row r="8" spans="1:16" ht="24.75" customHeight="1">
      <c r="A8" s="157" t="s">
        <v>661</v>
      </c>
      <c r="B8" s="158">
        <v>3010</v>
      </c>
      <c r="C8" s="159">
        <f>SUM(C9:C13)</f>
        <v>86185.3</v>
      </c>
      <c r="D8" s="159">
        <f>SUM(D9:D13)</f>
        <v>125264.7</v>
      </c>
      <c r="E8" s="159">
        <f>SUM(E9:E13)</f>
        <v>123660.1</v>
      </c>
      <c r="F8" s="159">
        <f t="shared" ref="F8:F9" si="0">E8-D8</f>
        <v>-1604.5999999999913</v>
      </c>
      <c r="G8" s="162">
        <f t="shared" ref="G8:G9" si="1">(E8/D8)*100</f>
        <v>98.71903257661576</v>
      </c>
    </row>
    <row r="9" spans="1:16" ht="37.5" customHeight="1">
      <c r="A9" s="18" t="s">
        <v>205</v>
      </c>
      <c r="B9" s="154"/>
      <c r="C9" s="155">
        <v>85038.5</v>
      </c>
      <c r="D9" s="155">
        <f>'Розшифровка 1 до Формування'!E8</f>
        <v>122304.8</v>
      </c>
      <c r="E9" s="155">
        <f>'Розшифровка 1 до Формування'!F8</f>
        <v>122146.6</v>
      </c>
      <c r="F9" s="155">
        <f t="shared" si="0"/>
        <v>-158.19999999999709</v>
      </c>
      <c r="G9" s="156">
        <f t="shared" si="1"/>
        <v>99.870651029231894</v>
      </c>
      <c r="P9" s="2" t="s">
        <v>233</v>
      </c>
    </row>
    <row r="10" spans="1:16" ht="28.5" customHeight="1">
      <c r="A10" s="18" t="s">
        <v>313</v>
      </c>
      <c r="B10" s="154"/>
      <c r="C10" s="155"/>
      <c r="D10" s="155">
        <f>'Розшифровка 1 до Формування'!E9</f>
        <v>2959.9</v>
      </c>
      <c r="E10" s="155">
        <f>'Розшифровка 1 до Формування'!F9</f>
        <v>1513.5</v>
      </c>
      <c r="F10" s="155">
        <f t="shared" ref="F10:F73" si="2">E10-D10</f>
        <v>-1446.4</v>
      </c>
      <c r="G10" s="156">
        <f t="shared" ref="G10:G73" si="3">(E10/D10)*100</f>
        <v>51.133484239332404</v>
      </c>
    </row>
    <row r="11" spans="1:16" ht="48.75" customHeight="1">
      <c r="A11" s="18" t="s">
        <v>662</v>
      </c>
      <c r="B11" s="154"/>
      <c r="C11" s="155">
        <v>742</v>
      </c>
      <c r="D11" s="155">
        <f>'Розшифровка 1 до Формування'!E10</f>
        <v>0</v>
      </c>
      <c r="E11" s="155">
        <f>'Розшифровка 1 до Формування'!F10</f>
        <v>0</v>
      </c>
      <c r="F11" s="155">
        <f t="shared" si="2"/>
        <v>0</v>
      </c>
      <c r="G11" s="163" t="e">
        <f t="shared" si="3"/>
        <v>#DIV/0!</v>
      </c>
    </row>
    <row r="12" spans="1:16" ht="24.75" customHeight="1">
      <c r="A12" s="18" t="s">
        <v>206</v>
      </c>
      <c r="B12" s="154"/>
      <c r="C12" s="155">
        <v>50.1</v>
      </c>
      <c r="D12" s="155">
        <f>'Розшифровка 1 до Формування'!E11</f>
        <v>0</v>
      </c>
      <c r="E12" s="155">
        <f>'Розшифровка 1 до Формування'!F11</f>
        <v>0</v>
      </c>
      <c r="F12" s="155">
        <f t="shared" si="2"/>
        <v>0</v>
      </c>
      <c r="G12" s="163" t="e">
        <f t="shared" si="3"/>
        <v>#DIV/0!</v>
      </c>
    </row>
    <row r="13" spans="1:16" ht="44.25" customHeight="1">
      <c r="A13" s="18" t="s">
        <v>663</v>
      </c>
      <c r="B13" s="158"/>
      <c r="C13" s="155">
        <v>354.7</v>
      </c>
      <c r="D13" s="155">
        <f>'Розшифровка 1 до Формування'!E12</f>
        <v>0</v>
      </c>
      <c r="E13" s="155">
        <f>'Розшифровка 1 до Формування'!F12</f>
        <v>0</v>
      </c>
      <c r="F13" s="155">
        <f t="shared" si="2"/>
        <v>0</v>
      </c>
      <c r="G13" s="163" t="e">
        <f t="shared" si="3"/>
        <v>#DIV/0!</v>
      </c>
    </row>
    <row r="14" spans="1:16" ht="27.75" customHeight="1">
      <c r="A14" s="157" t="s">
        <v>664</v>
      </c>
      <c r="B14" s="158">
        <v>3020</v>
      </c>
      <c r="C14" s="159">
        <f>SUM(C15:C17)</f>
        <v>14472.1</v>
      </c>
      <c r="D14" s="159">
        <f>SUM(D15:D17)</f>
        <v>20902</v>
      </c>
      <c r="E14" s="159">
        <f>SUM(E15:E17)</f>
        <v>19136.5</v>
      </c>
      <c r="F14" s="159">
        <f t="shared" si="2"/>
        <v>-1765.5</v>
      </c>
      <c r="G14" s="162">
        <f t="shared" si="3"/>
        <v>91.553439862214148</v>
      </c>
    </row>
    <row r="15" spans="1:16" ht="85.5" customHeight="1">
      <c r="A15" s="18" t="s">
        <v>665</v>
      </c>
      <c r="B15" s="154"/>
      <c r="C15" s="164">
        <f>'Розшифровка 1 до Формування'!D16</f>
        <v>143</v>
      </c>
      <c r="D15" s="164">
        <f>'Розшифровка 1 до Формування'!E16</f>
        <v>0</v>
      </c>
      <c r="E15" s="164">
        <f>'Розшифровка 1 до Формування'!F16</f>
        <v>0</v>
      </c>
      <c r="F15" s="155">
        <f t="shared" si="2"/>
        <v>0</v>
      </c>
      <c r="G15" s="163" t="e">
        <f t="shared" si="3"/>
        <v>#DIV/0!</v>
      </c>
    </row>
    <row r="16" spans="1:16" ht="39" customHeight="1">
      <c r="A16" s="18" t="s">
        <v>666</v>
      </c>
      <c r="B16" s="154"/>
      <c r="C16" s="155">
        <v>14329.1</v>
      </c>
      <c r="D16" s="155">
        <f>'Розшифровка 1 до Формування'!E14</f>
        <v>19136.400000000001</v>
      </c>
      <c r="E16" s="155">
        <v>19136.5</v>
      </c>
      <c r="F16" s="155">
        <f t="shared" si="2"/>
        <v>9.9999999998544808E-2</v>
      </c>
      <c r="G16" s="156">
        <f t="shared" si="3"/>
        <v>100.00052256432765</v>
      </c>
    </row>
    <row r="17" spans="1:10" ht="39" customHeight="1">
      <c r="A17" s="199" t="s">
        <v>315</v>
      </c>
      <c r="B17" s="154"/>
      <c r="C17" s="155"/>
      <c r="D17" s="155">
        <v>1765.6</v>
      </c>
      <c r="E17" s="155"/>
      <c r="F17" s="155">
        <f t="shared" si="2"/>
        <v>-1765.6</v>
      </c>
      <c r="G17" s="156">
        <f t="shared" si="3"/>
        <v>0</v>
      </c>
    </row>
    <row r="18" spans="1:10" ht="24.75" customHeight="1">
      <c r="A18" s="157" t="s">
        <v>667</v>
      </c>
      <c r="B18" s="158">
        <v>3040</v>
      </c>
      <c r="C18" s="159">
        <f>SUM(C19:C24)</f>
        <v>725</v>
      </c>
      <c r="D18" s="159">
        <f>SUM(D19:D24)</f>
        <v>143.19999999999999</v>
      </c>
      <c r="E18" s="159">
        <f>SUM(E19:E24)</f>
        <v>979.8</v>
      </c>
      <c r="F18" s="159">
        <f t="shared" si="2"/>
        <v>836.59999999999991</v>
      </c>
      <c r="G18" s="162">
        <f t="shared" si="3"/>
        <v>684.2178770949721</v>
      </c>
    </row>
    <row r="19" spans="1:10" ht="42" customHeight="1">
      <c r="A19" s="18" t="s">
        <v>668</v>
      </c>
      <c r="B19" s="154"/>
      <c r="C19" s="155">
        <v>26</v>
      </c>
      <c r="D19" s="155">
        <f>'Розшифровка 1 до Формування'!E19</f>
        <v>0</v>
      </c>
      <c r="E19" s="155">
        <f>'Розшифровка 1 до Формування'!F19</f>
        <v>0</v>
      </c>
      <c r="F19" s="155">
        <f t="shared" si="2"/>
        <v>0</v>
      </c>
      <c r="G19" s="163" t="e">
        <f t="shared" si="3"/>
        <v>#DIV/0!</v>
      </c>
    </row>
    <row r="20" spans="1:10" ht="26.25" customHeight="1">
      <c r="A20" s="18" t="s">
        <v>208</v>
      </c>
      <c r="B20" s="154"/>
      <c r="C20" s="155">
        <v>82.1</v>
      </c>
      <c r="D20" s="155">
        <v>108</v>
      </c>
      <c r="E20" s="155">
        <f>'Розшифровка 1 до Формування'!F18</f>
        <v>108.9</v>
      </c>
      <c r="F20" s="155">
        <f t="shared" si="2"/>
        <v>0.90000000000000568</v>
      </c>
      <c r="G20" s="156">
        <f t="shared" si="3"/>
        <v>100.83333333333333</v>
      </c>
    </row>
    <row r="21" spans="1:10" ht="24.75" customHeight="1">
      <c r="A21" s="18" t="s">
        <v>209</v>
      </c>
      <c r="B21" s="154"/>
      <c r="C21" s="155">
        <v>555.79999999999995</v>
      </c>
      <c r="D21" s="155"/>
      <c r="E21" s="155">
        <v>870.9</v>
      </c>
      <c r="F21" s="155">
        <f t="shared" si="2"/>
        <v>870.9</v>
      </c>
      <c r="G21" s="163" t="e">
        <f t="shared" si="3"/>
        <v>#DIV/0!</v>
      </c>
    </row>
    <row r="22" spans="1:10" ht="25.5" customHeight="1">
      <c r="A22" s="165" t="s">
        <v>669</v>
      </c>
      <c r="B22" s="158"/>
      <c r="C22" s="155">
        <v>4.9000000000000004</v>
      </c>
      <c r="D22" s="155">
        <f>'Розшифровка 1 до Формування'!E26</f>
        <v>35.200000000000003</v>
      </c>
      <c r="E22" s="155">
        <f>'Розшифровка 1 до Формування'!F26</f>
        <v>0</v>
      </c>
      <c r="F22" s="155">
        <f t="shared" si="2"/>
        <v>-35.200000000000003</v>
      </c>
      <c r="G22" s="156">
        <f t="shared" si="3"/>
        <v>0</v>
      </c>
    </row>
    <row r="23" spans="1:10" ht="37.5" customHeight="1">
      <c r="A23" s="165" t="s">
        <v>234</v>
      </c>
      <c r="B23" s="158"/>
      <c r="C23" s="155">
        <v>11.6</v>
      </c>
      <c r="D23" s="155">
        <f>'Розшифровка 1 до Формування'!E27</f>
        <v>0</v>
      </c>
      <c r="E23" s="155">
        <f>'Розшифровка 1 до Формування'!F27</f>
        <v>0</v>
      </c>
      <c r="F23" s="155">
        <f t="shared" si="2"/>
        <v>0</v>
      </c>
      <c r="G23" s="163" t="e">
        <f t="shared" si="3"/>
        <v>#DIV/0!</v>
      </c>
    </row>
    <row r="24" spans="1:10" ht="22.5" customHeight="1">
      <c r="A24" s="165" t="s">
        <v>515</v>
      </c>
      <c r="B24" s="158"/>
      <c r="C24" s="155">
        <v>44.6</v>
      </c>
      <c r="D24" s="155">
        <f>'Розшифровка 1 до Формування'!E22</f>
        <v>0</v>
      </c>
      <c r="E24" s="155">
        <f>'Розшифровка 1 до Формування'!F22</f>
        <v>0</v>
      </c>
      <c r="F24" s="155">
        <f t="shared" si="2"/>
        <v>0</v>
      </c>
      <c r="G24" s="163" t="e">
        <f t="shared" si="3"/>
        <v>#DIV/0!</v>
      </c>
    </row>
    <row r="25" spans="1:10" ht="31.5" customHeight="1">
      <c r="A25" s="157" t="s">
        <v>670</v>
      </c>
      <c r="B25" s="158"/>
      <c r="C25" s="160"/>
      <c r="D25" s="160"/>
      <c r="E25" s="160"/>
      <c r="F25" s="160">
        <f t="shared" si="2"/>
        <v>0</v>
      </c>
      <c r="G25" s="166" t="e">
        <f t="shared" si="3"/>
        <v>#DIV/0!</v>
      </c>
    </row>
    <row r="26" spans="1:10" ht="27" customHeight="1">
      <c r="A26" s="157" t="s">
        <v>145</v>
      </c>
      <c r="B26" s="158">
        <v>3139</v>
      </c>
      <c r="C26" s="159">
        <f>C27+C28</f>
        <v>70.5</v>
      </c>
      <c r="D26" s="159">
        <f>D27+D28</f>
        <v>0</v>
      </c>
      <c r="E26" s="159">
        <f>E27+E28</f>
        <v>0</v>
      </c>
      <c r="F26" s="159">
        <f t="shared" si="2"/>
        <v>0</v>
      </c>
      <c r="G26" s="167" t="e">
        <f t="shared" si="3"/>
        <v>#DIV/0!</v>
      </c>
    </row>
    <row r="27" spans="1:10" ht="26.25" customHeight="1">
      <c r="A27" s="165" t="s">
        <v>671</v>
      </c>
      <c r="B27" s="158"/>
      <c r="C27" s="160">
        <v>25.9</v>
      </c>
      <c r="D27" s="160"/>
      <c r="E27" s="160"/>
      <c r="F27" s="155">
        <f t="shared" si="2"/>
        <v>0</v>
      </c>
      <c r="G27" s="163" t="e">
        <f t="shared" si="3"/>
        <v>#DIV/0!</v>
      </c>
    </row>
    <row r="28" spans="1:10" ht="24.75" customHeight="1">
      <c r="A28" s="165" t="s">
        <v>672</v>
      </c>
      <c r="B28" s="158"/>
      <c r="C28" s="160">
        <v>44.6</v>
      </c>
      <c r="D28" s="160"/>
      <c r="E28" s="160"/>
      <c r="F28" s="155">
        <f t="shared" si="2"/>
        <v>0</v>
      </c>
      <c r="G28" s="163" t="e">
        <f t="shared" si="3"/>
        <v>#DIV/0!</v>
      </c>
    </row>
    <row r="29" spans="1:10" ht="31.5" customHeight="1">
      <c r="A29" s="153" t="s">
        <v>673</v>
      </c>
      <c r="B29" s="154"/>
      <c r="C29" s="155"/>
      <c r="D29" s="155"/>
      <c r="E29" s="155"/>
      <c r="F29" s="155">
        <f t="shared" si="2"/>
        <v>0</v>
      </c>
      <c r="G29" s="163" t="e">
        <f t="shared" si="3"/>
        <v>#DIV/0!</v>
      </c>
    </row>
    <row r="30" spans="1:10" ht="42" customHeight="1">
      <c r="A30" s="157" t="s">
        <v>674</v>
      </c>
      <c r="B30" s="158">
        <v>3200</v>
      </c>
      <c r="C30" s="159">
        <f>C31+C34</f>
        <v>55075.7</v>
      </c>
      <c r="D30" s="159">
        <f>D31</f>
        <v>21546.9</v>
      </c>
      <c r="E30" s="159">
        <f>E31+E34</f>
        <v>44435</v>
      </c>
      <c r="F30" s="159">
        <f t="shared" si="2"/>
        <v>22888.1</v>
      </c>
      <c r="G30" s="162">
        <f t="shared" si="3"/>
        <v>206.22456130580269</v>
      </c>
    </row>
    <row r="31" spans="1:10" ht="24.75" customHeight="1">
      <c r="A31" s="157" t="s">
        <v>667</v>
      </c>
      <c r="B31" s="158">
        <v>3210</v>
      </c>
      <c r="C31" s="159">
        <f>C32</f>
        <v>23181</v>
      </c>
      <c r="D31" s="159">
        <f>D32</f>
        <v>21546.9</v>
      </c>
      <c r="E31" s="159">
        <f>E32</f>
        <v>21546.9</v>
      </c>
      <c r="F31" s="159">
        <f t="shared" si="2"/>
        <v>0</v>
      </c>
      <c r="G31" s="162">
        <f t="shared" si="3"/>
        <v>100</v>
      </c>
    </row>
    <row r="32" spans="1:10" ht="45" customHeight="1">
      <c r="A32" s="18" t="s">
        <v>666</v>
      </c>
      <c r="B32" s="158"/>
      <c r="C32" s="155">
        <v>23181</v>
      </c>
      <c r="D32" s="155">
        <v>21546.9</v>
      </c>
      <c r="E32" s="155">
        <v>21546.9</v>
      </c>
      <c r="F32" s="155">
        <f t="shared" si="2"/>
        <v>0</v>
      </c>
      <c r="G32" s="156">
        <f t="shared" si="3"/>
        <v>100</v>
      </c>
      <c r="J32" s="21"/>
    </row>
    <row r="33" spans="1:7" ht="32.25" customHeight="1">
      <c r="A33" s="157" t="s">
        <v>675</v>
      </c>
      <c r="B33" s="158"/>
      <c r="C33" s="160"/>
      <c r="D33" s="160"/>
      <c r="E33" s="160"/>
      <c r="F33" s="160"/>
      <c r="G33" s="161"/>
    </row>
    <row r="34" spans="1:7" ht="41.25" customHeight="1">
      <c r="A34" s="157" t="s">
        <v>676</v>
      </c>
      <c r="B34" s="158">
        <v>3260</v>
      </c>
      <c r="C34" s="159">
        <f>C35+C92+C182</f>
        <v>31894.7</v>
      </c>
      <c r="D34" s="159">
        <f>D35+D92+D182</f>
        <v>21546.9</v>
      </c>
      <c r="E34" s="159">
        <f>E35+E92+E182</f>
        <v>22888.1</v>
      </c>
      <c r="F34" s="159">
        <f t="shared" si="2"/>
        <v>1341.1999999999971</v>
      </c>
      <c r="G34" s="162">
        <f t="shared" si="3"/>
        <v>106.22456130580267</v>
      </c>
    </row>
    <row r="35" spans="1:7" s="5" customFormat="1" ht="45" customHeight="1">
      <c r="A35" s="157" t="s">
        <v>677</v>
      </c>
      <c r="B35" s="168">
        <v>3266</v>
      </c>
      <c r="C35" s="159">
        <f>SUM(C36:C91)</f>
        <v>30234.5</v>
      </c>
      <c r="D35" s="159">
        <f>SUM(D36:D91)</f>
        <v>6914.8</v>
      </c>
      <c r="E35" s="159">
        <f>SUM(E36:E91)</f>
        <v>7599.9000000000005</v>
      </c>
      <c r="F35" s="159">
        <f t="shared" si="2"/>
        <v>685.10000000000036</v>
      </c>
      <c r="G35" s="162">
        <f t="shared" si="3"/>
        <v>109.90773413547754</v>
      </c>
    </row>
    <row r="36" spans="1:7" s="5" customFormat="1" ht="29.25" customHeight="1">
      <c r="A36" s="89" t="s">
        <v>517</v>
      </c>
      <c r="B36" s="73"/>
      <c r="C36" s="88">
        <v>363.1</v>
      </c>
      <c r="D36" s="45"/>
      <c r="E36" s="45"/>
      <c r="F36" s="155">
        <f t="shared" si="2"/>
        <v>0</v>
      </c>
      <c r="G36" s="163" t="e">
        <f t="shared" si="3"/>
        <v>#DIV/0!</v>
      </c>
    </row>
    <row r="37" spans="1:7" s="5" customFormat="1" ht="42.75" customHeight="1">
      <c r="A37" s="89" t="s">
        <v>518</v>
      </c>
      <c r="B37" s="73"/>
      <c r="C37" s="88">
        <v>118.8</v>
      </c>
      <c r="D37" s="45"/>
      <c r="E37" s="45"/>
      <c r="F37" s="155">
        <f t="shared" si="2"/>
        <v>0</v>
      </c>
      <c r="G37" s="163" t="e">
        <f t="shared" si="3"/>
        <v>#DIV/0!</v>
      </c>
    </row>
    <row r="38" spans="1:7" s="5" customFormat="1" ht="31.5" customHeight="1">
      <c r="A38" s="89" t="s">
        <v>519</v>
      </c>
      <c r="B38" s="73"/>
      <c r="C38" s="88">
        <v>213.9</v>
      </c>
      <c r="D38" s="45"/>
      <c r="E38" s="45"/>
      <c r="F38" s="155">
        <f t="shared" si="2"/>
        <v>0</v>
      </c>
      <c r="G38" s="163" t="e">
        <f t="shared" si="3"/>
        <v>#DIV/0!</v>
      </c>
    </row>
    <row r="39" spans="1:7" s="5" customFormat="1" ht="45" customHeight="1">
      <c r="A39" s="89" t="s">
        <v>520</v>
      </c>
      <c r="B39" s="73"/>
      <c r="C39" s="88">
        <v>378.5</v>
      </c>
      <c r="D39" s="45"/>
      <c r="E39" s="45"/>
      <c r="F39" s="155">
        <f t="shared" si="2"/>
        <v>0</v>
      </c>
      <c r="G39" s="163" t="e">
        <f t="shared" si="3"/>
        <v>#DIV/0!</v>
      </c>
    </row>
    <row r="40" spans="1:7" s="5" customFormat="1" ht="45" customHeight="1">
      <c r="A40" s="89" t="s">
        <v>521</v>
      </c>
      <c r="B40" s="73"/>
      <c r="C40" s="88">
        <v>1015.2</v>
      </c>
      <c r="D40" s="45"/>
      <c r="E40" s="45"/>
      <c r="F40" s="155">
        <f t="shared" si="2"/>
        <v>0</v>
      </c>
      <c r="G40" s="163" t="e">
        <f t="shared" si="3"/>
        <v>#DIV/0!</v>
      </c>
    </row>
    <row r="41" spans="1:7" s="5" customFormat="1" ht="41.25" customHeight="1">
      <c r="A41" s="89" t="s">
        <v>522</v>
      </c>
      <c r="B41" s="73"/>
      <c r="C41" s="88">
        <v>102.4</v>
      </c>
      <c r="D41" s="45"/>
      <c r="E41" s="45"/>
      <c r="F41" s="155">
        <f t="shared" si="2"/>
        <v>0</v>
      </c>
      <c r="G41" s="163" t="e">
        <f t="shared" si="3"/>
        <v>#DIV/0!</v>
      </c>
    </row>
    <row r="42" spans="1:7" s="5" customFormat="1" ht="42.75" customHeight="1">
      <c r="A42" s="89" t="s">
        <v>523</v>
      </c>
      <c r="B42" s="73"/>
      <c r="C42" s="88">
        <v>21.9</v>
      </c>
      <c r="D42" s="45"/>
      <c r="E42" s="45"/>
      <c r="F42" s="155">
        <f t="shared" si="2"/>
        <v>0</v>
      </c>
      <c r="G42" s="163" t="e">
        <f t="shared" si="3"/>
        <v>#DIV/0!</v>
      </c>
    </row>
    <row r="43" spans="1:7" s="5" customFormat="1" ht="48.75" customHeight="1">
      <c r="A43" s="89" t="s">
        <v>524</v>
      </c>
      <c r="B43" s="73"/>
      <c r="C43" s="88">
        <v>29.2</v>
      </c>
      <c r="D43" s="45"/>
      <c r="E43" s="45"/>
      <c r="F43" s="155">
        <f t="shared" si="2"/>
        <v>0</v>
      </c>
      <c r="G43" s="163" t="e">
        <f t="shared" si="3"/>
        <v>#DIV/0!</v>
      </c>
    </row>
    <row r="44" spans="1:7" s="5" customFormat="1" ht="28.5" customHeight="1">
      <c r="A44" s="89" t="s">
        <v>525</v>
      </c>
      <c r="B44" s="73"/>
      <c r="C44" s="88">
        <v>20.100000000000001</v>
      </c>
      <c r="D44" s="45"/>
      <c r="E44" s="45"/>
      <c r="F44" s="155">
        <f t="shared" si="2"/>
        <v>0</v>
      </c>
      <c r="G44" s="163" t="e">
        <f t="shared" si="3"/>
        <v>#DIV/0!</v>
      </c>
    </row>
    <row r="45" spans="1:7" s="5" customFormat="1" ht="36.75" customHeight="1">
      <c r="A45" s="89" t="s">
        <v>526</v>
      </c>
      <c r="B45" s="73"/>
      <c r="C45" s="88">
        <v>68.400000000000006</v>
      </c>
      <c r="D45" s="45"/>
      <c r="E45" s="45"/>
      <c r="F45" s="155">
        <f t="shared" si="2"/>
        <v>0</v>
      </c>
      <c r="G45" s="163" t="e">
        <f t="shared" si="3"/>
        <v>#DIV/0!</v>
      </c>
    </row>
    <row r="46" spans="1:7" s="5" customFormat="1" ht="35.25" customHeight="1">
      <c r="A46" s="89" t="s">
        <v>527</v>
      </c>
      <c r="B46" s="73"/>
      <c r="C46" s="88">
        <v>116.2</v>
      </c>
      <c r="D46" s="45"/>
      <c r="E46" s="45"/>
      <c r="F46" s="155">
        <f t="shared" si="2"/>
        <v>0</v>
      </c>
      <c r="G46" s="163" t="e">
        <f t="shared" si="3"/>
        <v>#DIV/0!</v>
      </c>
    </row>
    <row r="47" spans="1:7" s="5" customFormat="1" ht="28.5" customHeight="1">
      <c r="A47" s="24" t="s">
        <v>528</v>
      </c>
      <c r="B47" s="73"/>
      <c r="C47" s="88">
        <v>133</v>
      </c>
      <c r="D47" s="45"/>
      <c r="E47" s="125"/>
      <c r="F47" s="155">
        <f t="shared" si="2"/>
        <v>0</v>
      </c>
      <c r="G47" s="163" t="e">
        <f t="shared" si="3"/>
        <v>#DIV/0!</v>
      </c>
    </row>
    <row r="48" spans="1:7" s="5" customFormat="1" ht="43.5" customHeight="1">
      <c r="A48" s="89" t="s">
        <v>529</v>
      </c>
      <c r="B48" s="73"/>
      <c r="C48" s="88">
        <v>78.900000000000006</v>
      </c>
      <c r="D48" s="45"/>
      <c r="E48" s="45"/>
      <c r="F48" s="155">
        <f t="shared" si="2"/>
        <v>0</v>
      </c>
      <c r="G48" s="163" t="e">
        <f t="shared" si="3"/>
        <v>#DIV/0!</v>
      </c>
    </row>
    <row r="49" spans="1:7" s="5" customFormat="1" ht="30.75" customHeight="1">
      <c r="A49" s="24" t="s">
        <v>530</v>
      </c>
      <c r="B49" s="73"/>
      <c r="C49" s="88">
        <v>80</v>
      </c>
      <c r="D49" s="45"/>
      <c r="E49" s="45"/>
      <c r="F49" s="155">
        <f t="shared" si="2"/>
        <v>0</v>
      </c>
      <c r="G49" s="163" t="e">
        <f t="shared" si="3"/>
        <v>#DIV/0!</v>
      </c>
    </row>
    <row r="50" spans="1:7" s="5" customFormat="1" ht="45" customHeight="1">
      <c r="A50" s="24" t="s">
        <v>532</v>
      </c>
      <c r="B50" s="73"/>
      <c r="C50" s="88">
        <v>32.200000000000003</v>
      </c>
      <c r="D50" s="45"/>
      <c r="E50" s="45"/>
      <c r="F50" s="155">
        <f t="shared" si="2"/>
        <v>0</v>
      </c>
      <c r="G50" s="163" t="e">
        <f t="shared" si="3"/>
        <v>#DIV/0!</v>
      </c>
    </row>
    <row r="51" spans="1:7" s="5" customFormat="1" ht="27.75" customHeight="1">
      <c r="A51" s="24" t="s">
        <v>533</v>
      </c>
      <c r="B51" s="73"/>
      <c r="C51" s="88">
        <v>225</v>
      </c>
      <c r="D51" s="45"/>
      <c r="E51" s="45"/>
      <c r="F51" s="155">
        <f t="shared" si="2"/>
        <v>0</v>
      </c>
      <c r="G51" s="163" t="e">
        <f t="shared" si="3"/>
        <v>#DIV/0!</v>
      </c>
    </row>
    <row r="52" spans="1:7" s="5" customFormat="1" ht="43.5" customHeight="1">
      <c r="A52" s="24" t="s">
        <v>534</v>
      </c>
      <c r="B52" s="73"/>
      <c r="C52" s="88">
        <v>7896.6</v>
      </c>
      <c r="D52" s="45"/>
      <c r="E52" s="45"/>
      <c r="F52" s="155">
        <f t="shared" si="2"/>
        <v>0</v>
      </c>
      <c r="G52" s="163" t="e">
        <f t="shared" si="3"/>
        <v>#DIV/0!</v>
      </c>
    </row>
    <row r="53" spans="1:7" s="5" customFormat="1" ht="30.75" customHeight="1">
      <c r="A53" s="24" t="s">
        <v>535</v>
      </c>
      <c r="B53" s="73"/>
      <c r="C53" s="88">
        <v>16.2</v>
      </c>
      <c r="D53" s="45"/>
      <c r="E53" s="45"/>
      <c r="F53" s="155">
        <f t="shared" si="2"/>
        <v>0</v>
      </c>
      <c r="G53" s="163" t="e">
        <f t="shared" si="3"/>
        <v>#DIV/0!</v>
      </c>
    </row>
    <row r="54" spans="1:7" s="5" customFormat="1" ht="62.25" customHeight="1">
      <c r="A54" s="24" t="s">
        <v>536</v>
      </c>
      <c r="B54" s="73"/>
      <c r="C54" s="88">
        <v>218.2</v>
      </c>
      <c r="D54" s="45"/>
      <c r="E54" s="45"/>
      <c r="F54" s="155">
        <f t="shared" si="2"/>
        <v>0</v>
      </c>
      <c r="G54" s="163" t="e">
        <f t="shared" si="3"/>
        <v>#DIV/0!</v>
      </c>
    </row>
    <row r="55" spans="1:7" s="5" customFormat="1" ht="30" customHeight="1">
      <c r="A55" s="24" t="s">
        <v>537</v>
      </c>
      <c r="B55" s="73"/>
      <c r="C55" s="88">
        <v>54.7</v>
      </c>
      <c r="D55" s="45"/>
      <c r="E55" s="45"/>
      <c r="F55" s="155">
        <f t="shared" si="2"/>
        <v>0</v>
      </c>
      <c r="G55" s="163" t="e">
        <f t="shared" si="3"/>
        <v>#DIV/0!</v>
      </c>
    </row>
    <row r="56" spans="1:7" s="5" customFormat="1" ht="27.75" customHeight="1">
      <c r="A56" s="24" t="s">
        <v>538</v>
      </c>
      <c r="B56" s="73"/>
      <c r="C56" s="88">
        <v>3225.2</v>
      </c>
      <c r="D56" s="45"/>
      <c r="E56" s="45"/>
      <c r="F56" s="155">
        <f t="shared" si="2"/>
        <v>0</v>
      </c>
      <c r="G56" s="163" t="e">
        <f t="shared" si="3"/>
        <v>#DIV/0!</v>
      </c>
    </row>
    <row r="57" spans="1:7" s="5" customFormat="1" ht="27" customHeight="1">
      <c r="A57" s="24" t="s">
        <v>539</v>
      </c>
      <c r="B57" s="73"/>
      <c r="C57" s="88">
        <v>29.1</v>
      </c>
      <c r="D57" s="45"/>
      <c r="E57" s="45"/>
      <c r="F57" s="155">
        <f t="shared" si="2"/>
        <v>0</v>
      </c>
      <c r="G57" s="163" t="e">
        <f t="shared" si="3"/>
        <v>#DIV/0!</v>
      </c>
    </row>
    <row r="58" spans="1:7" s="5" customFormat="1" ht="27" customHeight="1">
      <c r="A58" s="24" t="s">
        <v>540</v>
      </c>
      <c r="B58" s="73"/>
      <c r="C58" s="88">
        <v>1495.1</v>
      </c>
      <c r="D58" s="45"/>
      <c r="E58" s="45"/>
      <c r="F58" s="155">
        <f t="shared" si="2"/>
        <v>0</v>
      </c>
      <c r="G58" s="163" t="e">
        <f t="shared" si="3"/>
        <v>#DIV/0!</v>
      </c>
    </row>
    <row r="59" spans="1:7" s="5" customFormat="1" ht="43.5" customHeight="1">
      <c r="A59" s="24" t="s">
        <v>541</v>
      </c>
      <c r="B59" s="73"/>
      <c r="C59" s="88">
        <v>242.5</v>
      </c>
      <c r="D59" s="45"/>
      <c r="E59" s="45"/>
      <c r="F59" s="155">
        <f t="shared" si="2"/>
        <v>0</v>
      </c>
      <c r="G59" s="163" t="e">
        <f t="shared" si="3"/>
        <v>#DIV/0!</v>
      </c>
    </row>
    <row r="60" spans="1:7" s="5" customFormat="1" ht="27" customHeight="1">
      <c r="A60" s="24" t="s">
        <v>542</v>
      </c>
      <c r="B60" s="73"/>
      <c r="C60" s="88">
        <v>242.5</v>
      </c>
      <c r="D60" s="45"/>
      <c r="E60" s="45"/>
      <c r="F60" s="155">
        <f t="shared" si="2"/>
        <v>0</v>
      </c>
      <c r="G60" s="163" t="e">
        <f t="shared" si="3"/>
        <v>#DIV/0!</v>
      </c>
    </row>
    <row r="61" spans="1:7" s="5" customFormat="1" ht="45" customHeight="1">
      <c r="A61" s="24" t="s">
        <v>543</v>
      </c>
      <c r="B61" s="73"/>
      <c r="C61" s="88">
        <v>60.7</v>
      </c>
      <c r="D61" s="45"/>
      <c r="E61" s="45"/>
      <c r="F61" s="155">
        <f t="shared" si="2"/>
        <v>0</v>
      </c>
      <c r="G61" s="163" t="e">
        <f t="shared" si="3"/>
        <v>#DIV/0!</v>
      </c>
    </row>
    <row r="62" spans="1:7" s="5" customFormat="1" ht="32.25" customHeight="1">
      <c r="A62" s="24" t="s">
        <v>544</v>
      </c>
      <c r="B62" s="73"/>
      <c r="C62" s="88">
        <v>519.29999999999995</v>
      </c>
      <c r="D62" s="45"/>
      <c r="E62" s="45"/>
      <c r="F62" s="155">
        <f t="shared" si="2"/>
        <v>0</v>
      </c>
      <c r="G62" s="163" t="e">
        <f t="shared" si="3"/>
        <v>#DIV/0!</v>
      </c>
    </row>
    <row r="63" spans="1:7" s="5" customFormat="1" ht="84" customHeight="1">
      <c r="A63" s="24" t="s">
        <v>545</v>
      </c>
      <c r="B63" s="73"/>
      <c r="C63" s="88">
        <v>170.4</v>
      </c>
      <c r="D63" s="45"/>
      <c r="E63" s="45"/>
      <c r="F63" s="155">
        <f t="shared" si="2"/>
        <v>0</v>
      </c>
      <c r="G63" s="163" t="e">
        <f t="shared" si="3"/>
        <v>#DIV/0!</v>
      </c>
    </row>
    <row r="64" spans="1:7" s="5" customFormat="1" ht="27.75" customHeight="1">
      <c r="A64" s="24" t="s">
        <v>546</v>
      </c>
      <c r="B64" s="73"/>
      <c r="C64" s="88">
        <v>939.8</v>
      </c>
      <c r="D64" s="45"/>
      <c r="E64" s="45"/>
      <c r="F64" s="155">
        <f t="shared" si="2"/>
        <v>0</v>
      </c>
      <c r="G64" s="163" t="e">
        <f t="shared" si="3"/>
        <v>#DIV/0!</v>
      </c>
    </row>
    <row r="65" spans="1:7" s="5" customFormat="1" ht="27" customHeight="1">
      <c r="A65" s="24" t="s">
        <v>547</v>
      </c>
      <c r="B65" s="73"/>
      <c r="C65" s="88">
        <v>2980</v>
      </c>
      <c r="D65" s="45"/>
      <c r="E65" s="45"/>
      <c r="F65" s="155">
        <f t="shared" si="2"/>
        <v>0</v>
      </c>
      <c r="G65" s="163" t="e">
        <f t="shared" si="3"/>
        <v>#DIV/0!</v>
      </c>
    </row>
    <row r="66" spans="1:7" s="5" customFormat="1" ht="33" customHeight="1">
      <c r="A66" s="24" t="s">
        <v>548</v>
      </c>
      <c r="B66" s="73"/>
      <c r="C66" s="19">
        <v>220.5</v>
      </c>
      <c r="D66" s="45"/>
      <c r="E66" s="45"/>
      <c r="F66" s="155">
        <f t="shared" si="2"/>
        <v>0</v>
      </c>
      <c r="G66" s="163" t="e">
        <f t="shared" si="3"/>
        <v>#DIV/0!</v>
      </c>
    </row>
    <row r="67" spans="1:7" s="5" customFormat="1" ht="27.75" customHeight="1">
      <c r="A67" s="84" t="s">
        <v>219</v>
      </c>
      <c r="B67" s="73"/>
      <c r="C67" s="19">
        <v>162.5</v>
      </c>
      <c r="D67" s="45"/>
      <c r="E67" s="45"/>
      <c r="F67" s="155">
        <f t="shared" si="2"/>
        <v>0</v>
      </c>
      <c r="G67" s="163" t="e">
        <f t="shared" si="3"/>
        <v>#DIV/0!</v>
      </c>
    </row>
    <row r="68" spans="1:7" s="5" customFormat="1" ht="26.25" customHeight="1">
      <c r="A68" s="22" t="s">
        <v>333</v>
      </c>
      <c r="B68" s="73"/>
      <c r="C68" s="19">
        <v>103.9</v>
      </c>
      <c r="D68" s="45"/>
      <c r="E68" s="45"/>
      <c r="F68" s="155">
        <f t="shared" si="2"/>
        <v>0</v>
      </c>
      <c r="G68" s="163" t="e">
        <f t="shared" si="3"/>
        <v>#DIV/0!</v>
      </c>
    </row>
    <row r="69" spans="1:7" s="5" customFormat="1" ht="42.75" customHeight="1">
      <c r="A69" s="22" t="s">
        <v>334</v>
      </c>
      <c r="B69" s="73"/>
      <c r="C69" s="19">
        <v>158.6</v>
      </c>
      <c r="D69" s="45"/>
      <c r="E69" s="45"/>
      <c r="F69" s="155">
        <f t="shared" si="2"/>
        <v>0</v>
      </c>
      <c r="G69" s="163" t="e">
        <f t="shared" si="3"/>
        <v>#DIV/0!</v>
      </c>
    </row>
    <row r="70" spans="1:7" s="5" customFormat="1" ht="27" customHeight="1">
      <c r="A70" s="22" t="s">
        <v>335</v>
      </c>
      <c r="B70" s="73"/>
      <c r="C70" s="19">
        <v>50.4</v>
      </c>
      <c r="D70" s="45"/>
      <c r="E70" s="45"/>
      <c r="F70" s="155">
        <f t="shared" si="2"/>
        <v>0</v>
      </c>
      <c r="G70" s="163" t="e">
        <f t="shared" si="3"/>
        <v>#DIV/0!</v>
      </c>
    </row>
    <row r="71" spans="1:7" s="5" customFormat="1" ht="29.25" customHeight="1">
      <c r="A71" s="22" t="s">
        <v>336</v>
      </c>
      <c r="B71" s="73"/>
      <c r="C71" s="19">
        <v>2022.6</v>
      </c>
      <c r="D71" s="45"/>
      <c r="E71" s="45"/>
      <c r="F71" s="155">
        <f t="shared" si="2"/>
        <v>0</v>
      </c>
      <c r="G71" s="163" t="e">
        <f t="shared" si="3"/>
        <v>#DIV/0!</v>
      </c>
    </row>
    <row r="72" spans="1:7" s="5" customFormat="1" ht="29.25" customHeight="1">
      <c r="A72" s="22" t="s">
        <v>337</v>
      </c>
      <c r="B72" s="73"/>
      <c r="C72" s="19">
        <v>455.4</v>
      </c>
      <c r="D72" s="45"/>
      <c r="E72" s="45"/>
      <c r="F72" s="155">
        <f t="shared" si="2"/>
        <v>0</v>
      </c>
      <c r="G72" s="163" t="e">
        <f t="shared" si="3"/>
        <v>#DIV/0!</v>
      </c>
    </row>
    <row r="73" spans="1:7" s="5" customFormat="1" ht="27" customHeight="1">
      <c r="A73" s="27" t="s">
        <v>338</v>
      </c>
      <c r="B73" s="73"/>
      <c r="C73" s="19">
        <v>235.3</v>
      </c>
      <c r="D73" s="45"/>
      <c r="E73" s="45"/>
      <c r="F73" s="155">
        <f t="shared" si="2"/>
        <v>0</v>
      </c>
      <c r="G73" s="163" t="e">
        <f t="shared" si="3"/>
        <v>#DIV/0!</v>
      </c>
    </row>
    <row r="74" spans="1:7" s="5" customFormat="1" ht="45" customHeight="1">
      <c r="A74" s="22" t="s">
        <v>339</v>
      </c>
      <c r="B74" s="73"/>
      <c r="C74" s="19">
        <v>307.5</v>
      </c>
      <c r="D74" s="45"/>
      <c r="E74" s="45"/>
      <c r="F74" s="155">
        <f t="shared" ref="F74:F137" si="4">E74-D74</f>
        <v>0</v>
      </c>
      <c r="G74" s="163" t="e">
        <f t="shared" ref="G74:G137" si="5">(E74/D74)*100</f>
        <v>#DIV/0!</v>
      </c>
    </row>
    <row r="75" spans="1:7" s="5" customFormat="1" ht="45" customHeight="1">
      <c r="A75" s="22" t="s">
        <v>361</v>
      </c>
      <c r="B75" s="73"/>
      <c r="C75" s="19">
        <v>45.7</v>
      </c>
      <c r="D75" s="45"/>
      <c r="E75" s="45"/>
      <c r="F75" s="155">
        <f t="shared" si="4"/>
        <v>0</v>
      </c>
      <c r="G75" s="163" t="e">
        <f t="shared" si="5"/>
        <v>#DIV/0!</v>
      </c>
    </row>
    <row r="76" spans="1:7" s="5" customFormat="1" ht="28.5" customHeight="1">
      <c r="A76" s="22" t="s">
        <v>362</v>
      </c>
      <c r="B76" s="73"/>
      <c r="C76" s="19">
        <v>106.1</v>
      </c>
      <c r="D76" s="45"/>
      <c r="E76" s="45"/>
      <c r="F76" s="155">
        <f t="shared" si="4"/>
        <v>0</v>
      </c>
      <c r="G76" s="163" t="e">
        <f t="shared" si="5"/>
        <v>#DIV/0!</v>
      </c>
    </row>
    <row r="77" spans="1:7" s="5" customFormat="1" ht="45.75" customHeight="1">
      <c r="A77" s="22" t="s">
        <v>363</v>
      </c>
      <c r="B77" s="73"/>
      <c r="C77" s="19">
        <v>341.1</v>
      </c>
      <c r="D77" s="45"/>
      <c r="E77" s="45"/>
      <c r="F77" s="155">
        <f t="shared" si="4"/>
        <v>0</v>
      </c>
      <c r="G77" s="163" t="e">
        <f t="shared" si="5"/>
        <v>#DIV/0!</v>
      </c>
    </row>
    <row r="78" spans="1:7" s="5" customFormat="1" ht="27.75" customHeight="1">
      <c r="A78" s="22" t="s">
        <v>364</v>
      </c>
      <c r="B78" s="73"/>
      <c r="C78" s="19">
        <v>3650</v>
      </c>
      <c r="D78" s="45"/>
      <c r="E78" s="45"/>
      <c r="F78" s="155">
        <f t="shared" si="4"/>
        <v>0</v>
      </c>
      <c r="G78" s="163" t="e">
        <f t="shared" si="5"/>
        <v>#DIV/0!</v>
      </c>
    </row>
    <row r="79" spans="1:7" s="5" customFormat="1" ht="32.25" customHeight="1">
      <c r="A79" s="22" t="s">
        <v>365</v>
      </c>
      <c r="B79" s="73"/>
      <c r="C79" s="19">
        <v>290</v>
      </c>
      <c r="D79" s="45"/>
      <c r="E79" s="45"/>
      <c r="F79" s="155">
        <f t="shared" si="4"/>
        <v>0</v>
      </c>
      <c r="G79" s="163" t="e">
        <f t="shared" si="5"/>
        <v>#DIV/0!</v>
      </c>
    </row>
    <row r="80" spans="1:7" s="5" customFormat="1" ht="31.5" customHeight="1">
      <c r="A80" s="22" t="s">
        <v>366</v>
      </c>
      <c r="B80" s="73"/>
      <c r="C80" s="19">
        <v>46</v>
      </c>
      <c r="D80" s="45"/>
      <c r="E80" s="45"/>
      <c r="F80" s="155">
        <f t="shared" si="4"/>
        <v>0</v>
      </c>
      <c r="G80" s="163" t="e">
        <f t="shared" si="5"/>
        <v>#DIV/0!</v>
      </c>
    </row>
    <row r="81" spans="1:8" s="5" customFormat="1" ht="32.25" customHeight="1">
      <c r="A81" s="22" t="s">
        <v>366</v>
      </c>
      <c r="B81" s="73"/>
      <c r="C81" s="19">
        <v>40</v>
      </c>
      <c r="D81" s="45"/>
      <c r="E81" s="45"/>
      <c r="F81" s="155">
        <f t="shared" si="4"/>
        <v>0</v>
      </c>
      <c r="G81" s="163" t="e">
        <f t="shared" si="5"/>
        <v>#DIV/0!</v>
      </c>
    </row>
    <row r="82" spans="1:8" s="5" customFormat="1" ht="45" customHeight="1">
      <c r="A82" s="22" t="s">
        <v>360</v>
      </c>
      <c r="B82" s="73"/>
      <c r="C82" s="19">
        <v>911.8</v>
      </c>
      <c r="D82" s="45"/>
      <c r="E82" s="45"/>
      <c r="F82" s="155">
        <f t="shared" si="4"/>
        <v>0</v>
      </c>
      <c r="G82" s="163" t="e">
        <f t="shared" si="5"/>
        <v>#DIV/0!</v>
      </c>
    </row>
    <row r="83" spans="1:8" s="5" customFormat="1" ht="29.25" customHeight="1">
      <c r="A83" s="84" t="s">
        <v>502</v>
      </c>
      <c r="B83" s="73"/>
      <c r="C83" s="19"/>
      <c r="D83" s="19">
        <v>5148</v>
      </c>
      <c r="E83" s="19">
        <v>5148</v>
      </c>
      <c r="F83" s="155">
        <f t="shared" si="4"/>
        <v>0</v>
      </c>
      <c r="G83" s="156">
        <f t="shared" si="5"/>
        <v>100</v>
      </c>
    </row>
    <row r="84" spans="1:8" s="5" customFormat="1" ht="26.25" customHeight="1">
      <c r="A84" s="84" t="s">
        <v>503</v>
      </c>
      <c r="B84" s="73"/>
      <c r="C84" s="19"/>
      <c r="D84" s="19">
        <v>191.8</v>
      </c>
      <c r="E84" s="19">
        <v>191.8</v>
      </c>
      <c r="F84" s="155">
        <f t="shared" si="4"/>
        <v>0</v>
      </c>
      <c r="G84" s="156">
        <f t="shared" si="5"/>
        <v>100</v>
      </c>
    </row>
    <row r="85" spans="1:8" s="5" customFormat="1" ht="45" customHeight="1">
      <c r="A85" s="84" t="s">
        <v>504</v>
      </c>
      <c r="B85" s="73"/>
      <c r="C85" s="19"/>
      <c r="D85" s="19">
        <v>217</v>
      </c>
      <c r="E85" s="19">
        <v>217</v>
      </c>
      <c r="F85" s="155">
        <f t="shared" si="4"/>
        <v>0</v>
      </c>
      <c r="G85" s="156">
        <f t="shared" si="5"/>
        <v>100</v>
      </c>
    </row>
    <row r="86" spans="1:8" s="5" customFormat="1" ht="45.75" customHeight="1">
      <c r="A86" s="84" t="s">
        <v>505</v>
      </c>
      <c r="B86" s="73"/>
      <c r="C86" s="19"/>
      <c r="D86" s="19">
        <v>116.8</v>
      </c>
      <c r="E86" s="19">
        <v>116.8</v>
      </c>
      <c r="F86" s="155">
        <f t="shared" si="4"/>
        <v>0</v>
      </c>
      <c r="G86" s="156">
        <f t="shared" si="5"/>
        <v>100</v>
      </c>
    </row>
    <row r="87" spans="1:8" s="5" customFormat="1" ht="34.5" customHeight="1">
      <c r="A87" s="84" t="s">
        <v>506</v>
      </c>
      <c r="B87" s="73"/>
      <c r="C87" s="19"/>
      <c r="D87" s="19">
        <v>340</v>
      </c>
      <c r="E87" s="19">
        <v>340</v>
      </c>
      <c r="F87" s="155">
        <f t="shared" si="4"/>
        <v>0</v>
      </c>
      <c r="G87" s="156">
        <f t="shared" si="5"/>
        <v>100</v>
      </c>
    </row>
    <row r="88" spans="1:8" s="5" customFormat="1" ht="30" customHeight="1">
      <c r="A88" s="84" t="s">
        <v>641</v>
      </c>
      <c r="B88" s="73"/>
      <c r="C88" s="19"/>
      <c r="D88" s="19">
        <v>901.2</v>
      </c>
      <c r="E88" s="19">
        <v>901.2</v>
      </c>
      <c r="F88" s="155">
        <f t="shared" si="4"/>
        <v>0</v>
      </c>
      <c r="G88" s="156">
        <f t="shared" si="5"/>
        <v>100</v>
      </c>
    </row>
    <row r="89" spans="1:8" s="5" customFormat="1" ht="28.5" customHeight="1">
      <c r="A89" s="24" t="s">
        <v>596</v>
      </c>
      <c r="B89" s="73"/>
      <c r="C89" s="19"/>
      <c r="D89" s="19"/>
      <c r="E89" s="19">
        <v>42.1</v>
      </c>
      <c r="F89" s="155">
        <f t="shared" si="4"/>
        <v>42.1</v>
      </c>
      <c r="G89" s="163" t="e">
        <f t="shared" si="5"/>
        <v>#DIV/0!</v>
      </c>
      <c r="H89" s="5" t="s">
        <v>715</v>
      </c>
    </row>
    <row r="90" spans="1:8" s="5" customFormat="1" ht="29.25" customHeight="1">
      <c r="A90" s="24" t="s">
        <v>599</v>
      </c>
      <c r="B90" s="101"/>
      <c r="C90" s="19"/>
      <c r="D90" s="19"/>
      <c r="E90" s="19">
        <v>590</v>
      </c>
      <c r="F90" s="155">
        <f t="shared" si="4"/>
        <v>590</v>
      </c>
      <c r="G90" s="163" t="e">
        <f t="shared" si="5"/>
        <v>#DIV/0!</v>
      </c>
      <c r="H90" s="5" t="s">
        <v>715</v>
      </c>
    </row>
    <row r="91" spans="1:8" s="5" customFormat="1" ht="51" customHeight="1">
      <c r="A91" s="24" t="s">
        <v>605</v>
      </c>
      <c r="B91" s="101"/>
      <c r="C91" s="19"/>
      <c r="D91" s="19"/>
      <c r="E91" s="19">
        <v>53</v>
      </c>
      <c r="F91" s="155">
        <f t="shared" si="4"/>
        <v>53</v>
      </c>
      <c r="G91" s="163" t="e">
        <f t="shared" si="5"/>
        <v>#DIV/0!</v>
      </c>
      <c r="H91" s="5" t="s">
        <v>716</v>
      </c>
    </row>
    <row r="92" spans="1:8" s="5" customFormat="1" ht="41.25" customHeight="1">
      <c r="A92" s="157" t="s">
        <v>678</v>
      </c>
      <c r="B92" s="168">
        <v>3267</v>
      </c>
      <c r="C92" s="159">
        <f>SUM(C94:C181)</f>
        <v>660.3000000000003</v>
      </c>
      <c r="D92" s="159">
        <f>SUM(D94:D181)</f>
        <v>0</v>
      </c>
      <c r="E92" s="159">
        <f>SUM(E93:E181)</f>
        <v>618.59999999999991</v>
      </c>
      <c r="F92" s="159">
        <f t="shared" si="4"/>
        <v>618.59999999999991</v>
      </c>
      <c r="G92" s="167" t="e">
        <f t="shared" si="5"/>
        <v>#DIV/0!</v>
      </c>
    </row>
    <row r="93" spans="1:8" s="5" customFormat="1" ht="30" customHeight="1">
      <c r="A93" s="165" t="s">
        <v>264</v>
      </c>
      <c r="B93" s="170"/>
      <c r="C93" s="155"/>
      <c r="D93" s="155"/>
      <c r="E93" s="155">
        <v>1.6</v>
      </c>
      <c r="F93" s="155">
        <f t="shared" si="4"/>
        <v>1.6</v>
      </c>
      <c r="G93" s="163" t="e">
        <f t="shared" si="5"/>
        <v>#DIV/0!</v>
      </c>
      <c r="H93" s="5" t="s">
        <v>716</v>
      </c>
    </row>
    <row r="94" spans="1:8" s="5" customFormat="1" ht="28.5" customHeight="1">
      <c r="A94" s="24" t="s">
        <v>419</v>
      </c>
      <c r="B94" s="123"/>
      <c r="C94" s="45"/>
      <c r="D94" s="45"/>
      <c r="E94" s="19">
        <v>11.2</v>
      </c>
      <c r="F94" s="159">
        <f t="shared" si="4"/>
        <v>11.2</v>
      </c>
      <c r="G94" s="167" t="e">
        <f t="shared" si="5"/>
        <v>#DIV/0!</v>
      </c>
      <c r="H94" s="5" t="s">
        <v>716</v>
      </c>
    </row>
    <row r="95" spans="1:8" s="5" customFormat="1" ht="31.5" customHeight="1">
      <c r="A95" s="24" t="s">
        <v>420</v>
      </c>
      <c r="B95" s="123"/>
      <c r="C95" s="45"/>
      <c r="D95" s="45"/>
      <c r="E95" s="19">
        <v>2.5</v>
      </c>
      <c r="F95" s="159">
        <f t="shared" si="4"/>
        <v>2.5</v>
      </c>
      <c r="G95" s="167" t="e">
        <f t="shared" si="5"/>
        <v>#DIV/0!</v>
      </c>
      <c r="H95" s="5" t="s">
        <v>716</v>
      </c>
    </row>
    <row r="96" spans="1:8" s="5" customFormat="1" ht="39" customHeight="1">
      <c r="A96" s="24" t="s">
        <v>421</v>
      </c>
      <c r="B96" s="123"/>
      <c r="C96" s="45"/>
      <c r="D96" s="45"/>
      <c r="E96" s="19">
        <v>0.9</v>
      </c>
      <c r="F96" s="159">
        <f t="shared" si="4"/>
        <v>0.9</v>
      </c>
      <c r="G96" s="167" t="e">
        <f t="shared" si="5"/>
        <v>#DIV/0!</v>
      </c>
      <c r="H96" s="5" t="s">
        <v>716</v>
      </c>
    </row>
    <row r="97" spans="1:8" s="5" customFormat="1" ht="33.75" customHeight="1">
      <c r="A97" s="24" t="s">
        <v>422</v>
      </c>
      <c r="B97" s="123"/>
      <c r="C97" s="45"/>
      <c r="D97" s="45"/>
      <c r="E97" s="19">
        <v>1.3</v>
      </c>
      <c r="F97" s="159">
        <f t="shared" si="4"/>
        <v>1.3</v>
      </c>
      <c r="G97" s="167" t="e">
        <f t="shared" si="5"/>
        <v>#DIV/0!</v>
      </c>
      <c r="H97" s="5" t="s">
        <v>716</v>
      </c>
    </row>
    <row r="98" spans="1:8" s="5" customFormat="1" ht="29.25" customHeight="1">
      <c r="A98" s="24" t="s">
        <v>609</v>
      </c>
      <c r="B98" s="123"/>
      <c r="C98" s="45"/>
      <c r="D98" s="45"/>
      <c r="E98" s="19">
        <v>0.5</v>
      </c>
      <c r="F98" s="159">
        <f t="shared" si="4"/>
        <v>0.5</v>
      </c>
      <c r="G98" s="167" t="e">
        <f t="shared" si="5"/>
        <v>#DIV/0!</v>
      </c>
      <c r="H98" s="5" t="s">
        <v>716</v>
      </c>
    </row>
    <row r="99" spans="1:8" s="5" customFormat="1" ht="28.5" customHeight="1">
      <c r="A99" s="24" t="s">
        <v>423</v>
      </c>
      <c r="B99" s="123"/>
      <c r="C99" s="45"/>
      <c r="D99" s="45"/>
      <c r="E99" s="19">
        <v>1.8</v>
      </c>
      <c r="F99" s="159">
        <f t="shared" si="4"/>
        <v>1.8</v>
      </c>
      <c r="G99" s="167" t="e">
        <f t="shared" si="5"/>
        <v>#DIV/0!</v>
      </c>
      <c r="H99" s="5" t="s">
        <v>716</v>
      </c>
    </row>
    <row r="100" spans="1:8" s="5" customFormat="1" ht="28.5" customHeight="1">
      <c r="A100" s="24" t="s">
        <v>717</v>
      </c>
      <c r="B100" s="123"/>
      <c r="C100" s="45"/>
      <c r="D100" s="45"/>
      <c r="E100" s="19">
        <v>16.8</v>
      </c>
      <c r="F100" s="159">
        <f t="shared" si="4"/>
        <v>16.8</v>
      </c>
      <c r="G100" s="167" t="e">
        <f t="shared" si="5"/>
        <v>#DIV/0!</v>
      </c>
      <c r="H100" s="5" t="s">
        <v>715</v>
      </c>
    </row>
    <row r="101" spans="1:8" s="5" customFormat="1" ht="27" customHeight="1">
      <c r="A101" s="24" t="s">
        <v>424</v>
      </c>
      <c r="B101" s="123"/>
      <c r="C101" s="45"/>
      <c r="D101" s="45"/>
      <c r="E101" s="19">
        <v>16.600000000000001</v>
      </c>
      <c r="F101" s="159">
        <f t="shared" si="4"/>
        <v>16.600000000000001</v>
      </c>
      <c r="G101" s="167" t="e">
        <f t="shared" si="5"/>
        <v>#DIV/0!</v>
      </c>
      <c r="H101" s="5" t="s">
        <v>716</v>
      </c>
    </row>
    <row r="102" spans="1:8" s="5" customFormat="1" ht="29.25" customHeight="1">
      <c r="A102" s="24" t="s">
        <v>640</v>
      </c>
      <c r="B102" s="123"/>
      <c r="C102" s="45"/>
      <c r="D102" s="45"/>
      <c r="E102" s="19">
        <v>40.200000000000003</v>
      </c>
      <c r="F102" s="159">
        <f t="shared" si="4"/>
        <v>40.200000000000003</v>
      </c>
      <c r="G102" s="167" t="e">
        <f t="shared" si="5"/>
        <v>#DIV/0!</v>
      </c>
      <c r="H102" s="5" t="s">
        <v>716</v>
      </c>
    </row>
    <row r="103" spans="1:8" s="5" customFormat="1" ht="29.25" customHeight="1">
      <c r="A103" s="24" t="s">
        <v>406</v>
      </c>
      <c r="B103" s="123"/>
      <c r="C103" s="45"/>
      <c r="D103" s="45"/>
      <c r="E103" s="19">
        <v>31.5</v>
      </c>
      <c r="F103" s="155">
        <f t="shared" si="4"/>
        <v>31.5</v>
      </c>
      <c r="G103" s="163" t="e">
        <f t="shared" si="5"/>
        <v>#DIV/0!</v>
      </c>
      <c r="H103" s="5" t="s">
        <v>715</v>
      </c>
    </row>
    <row r="104" spans="1:8" s="5" customFormat="1" ht="27.75" customHeight="1">
      <c r="A104" s="25" t="s">
        <v>415</v>
      </c>
      <c r="B104" s="123"/>
      <c r="C104" s="45"/>
      <c r="D104" s="45"/>
      <c r="E104" s="19">
        <v>12.5</v>
      </c>
      <c r="F104" s="155">
        <f t="shared" si="4"/>
        <v>12.5</v>
      </c>
      <c r="G104" s="163" t="e">
        <f t="shared" si="5"/>
        <v>#DIV/0!</v>
      </c>
      <c r="H104" s="5" t="s">
        <v>715</v>
      </c>
    </row>
    <row r="105" spans="1:8" s="5" customFormat="1" ht="30" customHeight="1">
      <c r="A105" s="24" t="s">
        <v>611</v>
      </c>
      <c r="B105" s="123"/>
      <c r="C105" s="45"/>
      <c r="D105" s="45"/>
      <c r="E105" s="19">
        <v>7</v>
      </c>
      <c r="F105" s="155">
        <f t="shared" si="4"/>
        <v>7</v>
      </c>
      <c r="G105" s="163" t="e">
        <f t="shared" si="5"/>
        <v>#DIV/0!</v>
      </c>
      <c r="H105" s="5" t="s">
        <v>715</v>
      </c>
    </row>
    <row r="106" spans="1:8" s="5" customFormat="1" ht="33" customHeight="1">
      <c r="A106" s="25" t="s">
        <v>436</v>
      </c>
      <c r="B106" s="123"/>
      <c r="C106" s="45"/>
      <c r="D106" s="45"/>
      <c r="E106" s="19">
        <v>8.3000000000000007</v>
      </c>
      <c r="F106" s="155">
        <f t="shared" si="4"/>
        <v>8.3000000000000007</v>
      </c>
      <c r="G106" s="163" t="e">
        <f t="shared" si="5"/>
        <v>#DIV/0!</v>
      </c>
      <c r="H106" s="5" t="s">
        <v>715</v>
      </c>
    </row>
    <row r="107" spans="1:8" s="5" customFormat="1" ht="29.25" customHeight="1">
      <c r="A107" s="24" t="s">
        <v>612</v>
      </c>
      <c r="B107" s="123"/>
      <c r="C107" s="45"/>
      <c r="D107" s="45"/>
      <c r="E107" s="19">
        <v>39.6</v>
      </c>
      <c r="F107" s="155">
        <f t="shared" si="4"/>
        <v>39.6</v>
      </c>
      <c r="G107" s="163" t="e">
        <f t="shared" si="5"/>
        <v>#DIV/0!</v>
      </c>
      <c r="H107" s="5" t="s">
        <v>715</v>
      </c>
    </row>
    <row r="108" spans="1:8" s="5" customFormat="1" ht="29.25" customHeight="1">
      <c r="A108" s="24" t="s">
        <v>613</v>
      </c>
      <c r="B108" s="124"/>
      <c r="C108" s="19"/>
      <c r="D108" s="19"/>
      <c r="E108" s="19">
        <v>7.4</v>
      </c>
      <c r="F108" s="155">
        <f t="shared" si="4"/>
        <v>7.4</v>
      </c>
      <c r="G108" s="163" t="e">
        <f t="shared" si="5"/>
        <v>#DIV/0!</v>
      </c>
      <c r="H108" s="5" t="s">
        <v>715</v>
      </c>
    </row>
    <row r="109" spans="1:8" s="5" customFormat="1" ht="33" customHeight="1">
      <c r="A109" s="24" t="s">
        <v>614</v>
      </c>
      <c r="B109" s="124"/>
      <c r="C109" s="19"/>
      <c r="D109" s="19"/>
      <c r="E109" s="19">
        <v>6.3</v>
      </c>
      <c r="F109" s="155">
        <f t="shared" si="4"/>
        <v>6.3</v>
      </c>
      <c r="G109" s="163" t="e">
        <f t="shared" si="5"/>
        <v>#DIV/0!</v>
      </c>
      <c r="H109" s="5" t="s">
        <v>716</v>
      </c>
    </row>
    <row r="110" spans="1:8" s="5" customFormat="1" ht="46.5" customHeight="1">
      <c r="A110" s="24" t="s">
        <v>615</v>
      </c>
      <c r="B110" s="124"/>
      <c r="C110" s="19"/>
      <c r="D110" s="19"/>
      <c r="E110" s="19">
        <v>12</v>
      </c>
      <c r="F110" s="155">
        <f t="shared" si="4"/>
        <v>12</v>
      </c>
      <c r="G110" s="163" t="e">
        <f t="shared" si="5"/>
        <v>#DIV/0!</v>
      </c>
      <c r="H110" s="5" t="s">
        <v>716</v>
      </c>
    </row>
    <row r="111" spans="1:8" s="5" customFormat="1" ht="29.25" customHeight="1">
      <c r="A111" s="24" t="s">
        <v>616</v>
      </c>
      <c r="B111" s="124"/>
      <c r="C111" s="19"/>
      <c r="D111" s="19"/>
      <c r="E111" s="19">
        <v>1.8</v>
      </c>
      <c r="F111" s="155">
        <f t="shared" si="4"/>
        <v>1.8</v>
      </c>
      <c r="G111" s="163" t="e">
        <f t="shared" si="5"/>
        <v>#DIV/0!</v>
      </c>
      <c r="H111" s="5" t="s">
        <v>716</v>
      </c>
    </row>
    <row r="112" spans="1:8" s="5" customFormat="1" ht="34.5" customHeight="1">
      <c r="A112" s="24" t="s">
        <v>617</v>
      </c>
      <c r="B112" s="124"/>
      <c r="C112" s="19"/>
      <c r="D112" s="19"/>
      <c r="E112" s="19">
        <v>10.3</v>
      </c>
      <c r="F112" s="155">
        <f t="shared" si="4"/>
        <v>10.3</v>
      </c>
      <c r="G112" s="163" t="e">
        <f t="shared" si="5"/>
        <v>#DIV/0!</v>
      </c>
      <c r="H112" s="5" t="s">
        <v>714</v>
      </c>
    </row>
    <row r="113" spans="1:8" s="5" customFormat="1" ht="31.5" customHeight="1">
      <c r="A113" s="24" t="s">
        <v>618</v>
      </c>
      <c r="B113" s="124"/>
      <c r="C113" s="19"/>
      <c r="D113" s="19"/>
      <c r="E113" s="19">
        <v>6.2</v>
      </c>
      <c r="F113" s="155">
        <f t="shared" si="4"/>
        <v>6.2</v>
      </c>
      <c r="G113" s="163" t="e">
        <f t="shared" si="5"/>
        <v>#DIV/0!</v>
      </c>
      <c r="H113" s="5" t="s">
        <v>714</v>
      </c>
    </row>
    <row r="114" spans="1:8" s="5" customFormat="1" ht="32.25" customHeight="1">
      <c r="A114" s="24" t="s">
        <v>619</v>
      </c>
      <c r="B114" s="124"/>
      <c r="C114" s="19"/>
      <c r="D114" s="19"/>
      <c r="E114" s="19">
        <v>14.7</v>
      </c>
      <c r="F114" s="155">
        <f t="shared" si="4"/>
        <v>14.7</v>
      </c>
      <c r="G114" s="163" t="e">
        <f t="shared" si="5"/>
        <v>#DIV/0!</v>
      </c>
      <c r="H114" s="5" t="s">
        <v>714</v>
      </c>
    </row>
    <row r="115" spans="1:8" s="5" customFormat="1" ht="38.25" customHeight="1">
      <c r="A115" s="24" t="s">
        <v>620</v>
      </c>
      <c r="B115" s="124"/>
      <c r="C115" s="19"/>
      <c r="D115" s="19"/>
      <c r="E115" s="19">
        <v>17.600000000000001</v>
      </c>
      <c r="F115" s="155">
        <f t="shared" si="4"/>
        <v>17.600000000000001</v>
      </c>
      <c r="G115" s="163" t="e">
        <f t="shared" si="5"/>
        <v>#DIV/0!</v>
      </c>
      <c r="H115" s="5" t="s">
        <v>714</v>
      </c>
    </row>
    <row r="116" spans="1:8" s="5" customFormat="1" ht="26.25" customHeight="1">
      <c r="A116" s="24" t="s">
        <v>621</v>
      </c>
      <c r="B116" s="124"/>
      <c r="C116" s="19"/>
      <c r="D116" s="19"/>
      <c r="E116" s="19">
        <v>26.4</v>
      </c>
      <c r="F116" s="155">
        <f t="shared" si="4"/>
        <v>26.4</v>
      </c>
      <c r="G116" s="163" t="e">
        <f t="shared" si="5"/>
        <v>#DIV/0!</v>
      </c>
      <c r="H116" s="5" t="s">
        <v>714</v>
      </c>
    </row>
    <row r="117" spans="1:8" s="5" customFormat="1" ht="27.75" customHeight="1">
      <c r="A117" s="24" t="s">
        <v>622</v>
      </c>
      <c r="B117" s="124"/>
      <c r="C117" s="19"/>
      <c r="D117" s="19"/>
      <c r="E117" s="19">
        <v>9.6999999999999993</v>
      </c>
      <c r="F117" s="155">
        <f t="shared" si="4"/>
        <v>9.6999999999999993</v>
      </c>
      <c r="G117" s="163" t="e">
        <f t="shared" si="5"/>
        <v>#DIV/0!</v>
      </c>
      <c r="H117" s="5" t="s">
        <v>714</v>
      </c>
    </row>
    <row r="118" spans="1:8" s="5" customFormat="1" ht="29.25" customHeight="1">
      <c r="A118" s="24" t="s">
        <v>623</v>
      </c>
      <c r="B118" s="124"/>
      <c r="C118" s="19"/>
      <c r="D118" s="19"/>
      <c r="E118" s="19">
        <v>6.2</v>
      </c>
      <c r="F118" s="155">
        <f t="shared" si="4"/>
        <v>6.2</v>
      </c>
      <c r="G118" s="163" t="e">
        <f t="shared" si="5"/>
        <v>#DIV/0!</v>
      </c>
      <c r="H118" s="5" t="s">
        <v>714</v>
      </c>
    </row>
    <row r="119" spans="1:8" s="5" customFormat="1" ht="31.5" customHeight="1">
      <c r="A119" s="24" t="s">
        <v>624</v>
      </c>
      <c r="B119" s="124"/>
      <c r="C119" s="19"/>
      <c r="D119" s="19"/>
      <c r="E119" s="19">
        <v>45.8</v>
      </c>
      <c r="F119" s="155">
        <f t="shared" si="4"/>
        <v>45.8</v>
      </c>
      <c r="G119" s="163" t="e">
        <f t="shared" si="5"/>
        <v>#DIV/0!</v>
      </c>
      <c r="H119" s="5" t="s">
        <v>716</v>
      </c>
    </row>
    <row r="120" spans="1:8" s="5" customFormat="1" ht="43.5" customHeight="1">
      <c r="A120" s="24" t="s">
        <v>625</v>
      </c>
      <c r="B120" s="124"/>
      <c r="C120" s="19"/>
      <c r="D120" s="19"/>
      <c r="E120" s="19">
        <v>31.8</v>
      </c>
      <c r="F120" s="155">
        <f t="shared" si="4"/>
        <v>31.8</v>
      </c>
      <c r="G120" s="163" t="e">
        <f t="shared" si="5"/>
        <v>#DIV/0!</v>
      </c>
      <c r="H120" s="5" t="s">
        <v>716</v>
      </c>
    </row>
    <row r="121" spans="1:8" s="5" customFormat="1" ht="49.5" customHeight="1">
      <c r="A121" s="24" t="s">
        <v>626</v>
      </c>
      <c r="B121" s="124"/>
      <c r="C121" s="19"/>
      <c r="D121" s="19"/>
      <c r="E121" s="19">
        <v>14.8</v>
      </c>
      <c r="F121" s="155">
        <f t="shared" si="4"/>
        <v>14.8</v>
      </c>
      <c r="G121" s="163" t="e">
        <f t="shared" si="5"/>
        <v>#DIV/0!</v>
      </c>
      <c r="H121" s="5" t="s">
        <v>716</v>
      </c>
    </row>
    <row r="122" spans="1:8" s="5" customFormat="1" ht="86.25" customHeight="1">
      <c r="A122" s="24" t="s">
        <v>627</v>
      </c>
      <c r="B122" s="124"/>
      <c r="C122" s="19"/>
      <c r="D122" s="19"/>
      <c r="E122" s="19">
        <v>18.3</v>
      </c>
      <c r="F122" s="155">
        <f t="shared" si="4"/>
        <v>18.3</v>
      </c>
      <c r="G122" s="163" t="e">
        <f t="shared" si="5"/>
        <v>#DIV/0!</v>
      </c>
      <c r="H122" s="5" t="s">
        <v>715</v>
      </c>
    </row>
    <row r="123" spans="1:8" s="5" customFormat="1" ht="26.25" customHeight="1">
      <c r="A123" s="24" t="s">
        <v>628</v>
      </c>
      <c r="B123" s="124"/>
      <c r="C123" s="19"/>
      <c r="D123" s="19"/>
      <c r="E123" s="19">
        <v>23.4</v>
      </c>
      <c r="F123" s="155">
        <f t="shared" si="4"/>
        <v>23.4</v>
      </c>
      <c r="G123" s="163" t="e">
        <f t="shared" si="5"/>
        <v>#DIV/0!</v>
      </c>
      <c r="H123" s="5" t="s">
        <v>714</v>
      </c>
    </row>
    <row r="124" spans="1:8" s="5" customFormat="1" ht="51" customHeight="1">
      <c r="A124" s="24" t="s">
        <v>720</v>
      </c>
      <c r="B124" s="124"/>
      <c r="C124" s="19"/>
      <c r="D124" s="19"/>
      <c r="E124" s="19">
        <v>160.80000000000001</v>
      </c>
      <c r="F124" s="155">
        <f t="shared" si="4"/>
        <v>160.80000000000001</v>
      </c>
      <c r="G124" s="163" t="e">
        <f t="shared" si="5"/>
        <v>#DIV/0!</v>
      </c>
      <c r="H124" s="5" t="s">
        <v>716</v>
      </c>
    </row>
    <row r="125" spans="1:8" s="5" customFormat="1" ht="25.5" customHeight="1">
      <c r="A125" s="24" t="s">
        <v>718</v>
      </c>
      <c r="B125" s="124"/>
      <c r="C125" s="19"/>
      <c r="D125" s="19"/>
      <c r="E125" s="19">
        <v>12.8</v>
      </c>
      <c r="F125" s="155">
        <f t="shared" si="4"/>
        <v>12.8</v>
      </c>
      <c r="G125" s="163" t="e">
        <f t="shared" si="5"/>
        <v>#DIV/0!</v>
      </c>
      <c r="H125" s="5" t="s">
        <v>715</v>
      </c>
    </row>
    <row r="126" spans="1:8" s="5" customFormat="1" ht="27" customHeight="1">
      <c r="A126" s="25" t="s">
        <v>549</v>
      </c>
      <c r="B126" s="124"/>
      <c r="C126" s="19">
        <v>22</v>
      </c>
      <c r="D126" s="19"/>
      <c r="E126" s="19"/>
      <c r="F126" s="155">
        <f t="shared" si="4"/>
        <v>0</v>
      </c>
      <c r="G126" s="163" t="e">
        <f t="shared" si="5"/>
        <v>#DIV/0!</v>
      </c>
    </row>
    <row r="127" spans="1:8" s="5" customFormat="1" ht="25.5" customHeight="1">
      <c r="A127" s="25" t="s">
        <v>340</v>
      </c>
      <c r="B127" s="124"/>
      <c r="C127" s="19">
        <v>14.6</v>
      </c>
      <c r="D127" s="19"/>
      <c r="E127" s="19"/>
      <c r="F127" s="155">
        <f t="shared" si="4"/>
        <v>0</v>
      </c>
      <c r="G127" s="163" t="e">
        <f t="shared" si="5"/>
        <v>#DIV/0!</v>
      </c>
    </row>
    <row r="128" spans="1:8" s="5" customFormat="1" ht="24" customHeight="1">
      <c r="A128" s="25" t="s">
        <v>341</v>
      </c>
      <c r="B128" s="124"/>
      <c r="C128" s="19">
        <v>34</v>
      </c>
      <c r="D128" s="19"/>
      <c r="E128" s="19"/>
      <c r="F128" s="155">
        <f t="shared" si="4"/>
        <v>0</v>
      </c>
      <c r="G128" s="163" t="e">
        <f t="shared" si="5"/>
        <v>#DIV/0!</v>
      </c>
    </row>
    <row r="129" spans="1:7" s="5" customFormat="1" ht="45" customHeight="1">
      <c r="A129" s="24" t="s">
        <v>342</v>
      </c>
      <c r="B129" s="124"/>
      <c r="C129" s="19">
        <v>2.8</v>
      </c>
      <c r="D129" s="19"/>
      <c r="E129" s="19"/>
      <c r="F129" s="155">
        <f t="shared" si="4"/>
        <v>0</v>
      </c>
      <c r="G129" s="163" t="e">
        <f t="shared" si="5"/>
        <v>#DIV/0!</v>
      </c>
    </row>
    <row r="130" spans="1:7" s="5" customFormat="1" ht="24.75" customHeight="1">
      <c r="A130" s="24" t="s">
        <v>343</v>
      </c>
      <c r="B130" s="124"/>
      <c r="C130" s="19">
        <v>2.7</v>
      </c>
      <c r="D130" s="19"/>
      <c r="E130" s="19"/>
      <c r="F130" s="155">
        <f t="shared" si="4"/>
        <v>0</v>
      </c>
      <c r="G130" s="163" t="e">
        <f t="shared" si="5"/>
        <v>#DIV/0!</v>
      </c>
    </row>
    <row r="131" spans="1:7" s="5" customFormat="1" ht="46.5" customHeight="1">
      <c r="A131" s="24" t="s">
        <v>550</v>
      </c>
      <c r="B131" s="124"/>
      <c r="C131" s="19">
        <v>14.2</v>
      </c>
      <c r="D131" s="19"/>
      <c r="E131" s="19"/>
      <c r="F131" s="155">
        <f t="shared" si="4"/>
        <v>0</v>
      </c>
      <c r="G131" s="163" t="e">
        <f t="shared" si="5"/>
        <v>#DIV/0!</v>
      </c>
    </row>
    <row r="132" spans="1:7" s="5" customFormat="1" ht="23.25" customHeight="1">
      <c r="A132" s="24" t="s">
        <v>551</v>
      </c>
      <c r="B132" s="124"/>
      <c r="C132" s="19">
        <v>19.600000000000001</v>
      </c>
      <c r="D132" s="19"/>
      <c r="E132" s="19"/>
      <c r="F132" s="155">
        <f t="shared" si="4"/>
        <v>0</v>
      </c>
      <c r="G132" s="163" t="e">
        <f t="shared" si="5"/>
        <v>#DIV/0!</v>
      </c>
    </row>
    <row r="133" spans="1:7" s="5" customFormat="1" ht="21.75" customHeight="1">
      <c r="A133" s="24" t="s">
        <v>552</v>
      </c>
      <c r="B133" s="124"/>
      <c r="C133" s="19">
        <v>19.899999999999999</v>
      </c>
      <c r="D133" s="19"/>
      <c r="E133" s="19"/>
      <c r="F133" s="155">
        <f t="shared" si="4"/>
        <v>0</v>
      </c>
      <c r="G133" s="163" t="e">
        <f t="shared" si="5"/>
        <v>#DIV/0!</v>
      </c>
    </row>
    <row r="134" spans="1:7" s="5" customFormat="1" ht="26.25" customHeight="1">
      <c r="A134" s="24" t="s">
        <v>553</v>
      </c>
      <c r="B134" s="124"/>
      <c r="C134" s="19">
        <v>0.3</v>
      </c>
      <c r="D134" s="19"/>
      <c r="E134" s="19"/>
      <c r="F134" s="155">
        <f t="shared" si="4"/>
        <v>0</v>
      </c>
      <c r="G134" s="163" t="e">
        <f t="shared" si="5"/>
        <v>#DIV/0!</v>
      </c>
    </row>
    <row r="135" spans="1:7" s="5" customFormat="1" ht="27" customHeight="1">
      <c r="A135" s="24" t="s">
        <v>367</v>
      </c>
      <c r="B135" s="124"/>
      <c r="C135" s="19">
        <v>0.1</v>
      </c>
      <c r="D135" s="19"/>
      <c r="E135" s="19"/>
      <c r="F135" s="155">
        <f t="shared" si="4"/>
        <v>0</v>
      </c>
      <c r="G135" s="163" t="e">
        <f t="shared" si="5"/>
        <v>#DIV/0!</v>
      </c>
    </row>
    <row r="136" spans="1:7" s="5" customFormat="1" ht="24.75" customHeight="1">
      <c r="A136" s="24" t="s">
        <v>368</v>
      </c>
      <c r="B136" s="124"/>
      <c r="C136" s="19">
        <v>2</v>
      </c>
      <c r="D136" s="19"/>
      <c r="E136" s="19"/>
      <c r="F136" s="155">
        <f t="shared" si="4"/>
        <v>0</v>
      </c>
      <c r="G136" s="163" t="e">
        <f t="shared" si="5"/>
        <v>#DIV/0!</v>
      </c>
    </row>
    <row r="137" spans="1:7" s="5" customFormat="1" ht="24.75" customHeight="1">
      <c r="A137" s="24" t="s">
        <v>372</v>
      </c>
      <c r="B137" s="124"/>
      <c r="C137" s="19">
        <v>4.5</v>
      </c>
      <c r="D137" s="19"/>
      <c r="E137" s="19"/>
      <c r="F137" s="155">
        <f t="shared" si="4"/>
        <v>0</v>
      </c>
      <c r="G137" s="163" t="e">
        <f t="shared" si="5"/>
        <v>#DIV/0!</v>
      </c>
    </row>
    <row r="138" spans="1:7" s="5" customFormat="1" ht="24.75" customHeight="1">
      <c r="A138" s="24" t="s">
        <v>373</v>
      </c>
      <c r="B138" s="124"/>
      <c r="C138" s="19">
        <v>2.5</v>
      </c>
      <c r="D138" s="19"/>
      <c r="E138" s="19"/>
      <c r="F138" s="155">
        <f t="shared" ref="F138:F187" si="6">E138-D138</f>
        <v>0</v>
      </c>
      <c r="G138" s="163" t="e">
        <f t="shared" ref="G138:G187" si="7">(E138/D138)*100</f>
        <v>#DIV/0!</v>
      </c>
    </row>
    <row r="139" spans="1:7" s="5" customFormat="1" ht="21.75" customHeight="1">
      <c r="A139" s="24" t="s">
        <v>374</v>
      </c>
      <c r="B139" s="124"/>
      <c r="C139" s="19">
        <v>2.1</v>
      </c>
      <c r="D139" s="19"/>
      <c r="E139" s="19"/>
      <c r="F139" s="155">
        <f t="shared" si="6"/>
        <v>0</v>
      </c>
      <c r="G139" s="163" t="e">
        <f t="shared" si="7"/>
        <v>#DIV/0!</v>
      </c>
    </row>
    <row r="140" spans="1:7" s="5" customFormat="1" ht="23.25" customHeight="1">
      <c r="A140" s="24" t="s">
        <v>375</v>
      </c>
      <c r="B140" s="124"/>
      <c r="C140" s="19">
        <v>12</v>
      </c>
      <c r="D140" s="19"/>
      <c r="E140" s="19"/>
      <c r="F140" s="155">
        <f t="shared" si="6"/>
        <v>0</v>
      </c>
      <c r="G140" s="163" t="e">
        <f t="shared" si="7"/>
        <v>#DIV/0!</v>
      </c>
    </row>
    <row r="141" spans="1:7" s="5" customFormat="1" ht="25.5" customHeight="1">
      <c r="A141" s="24" t="s">
        <v>379</v>
      </c>
      <c r="B141" s="124"/>
      <c r="C141" s="19">
        <v>2.7</v>
      </c>
      <c r="D141" s="19"/>
      <c r="E141" s="19"/>
      <c r="F141" s="155">
        <f t="shared" si="6"/>
        <v>0</v>
      </c>
      <c r="G141" s="163" t="e">
        <f t="shared" si="7"/>
        <v>#DIV/0!</v>
      </c>
    </row>
    <row r="142" spans="1:7" s="5" customFormat="1" ht="23.25" customHeight="1">
      <c r="A142" s="24" t="s">
        <v>380</v>
      </c>
      <c r="B142" s="124"/>
      <c r="C142" s="19">
        <v>2.1</v>
      </c>
      <c r="D142" s="19"/>
      <c r="E142" s="19"/>
      <c r="F142" s="155">
        <f t="shared" si="6"/>
        <v>0</v>
      </c>
      <c r="G142" s="163" t="e">
        <f t="shared" si="7"/>
        <v>#DIV/0!</v>
      </c>
    </row>
    <row r="143" spans="1:7" s="5" customFormat="1" ht="26.25" customHeight="1">
      <c r="A143" s="24" t="s">
        <v>556</v>
      </c>
      <c r="B143" s="124"/>
      <c r="C143" s="19">
        <v>6.4</v>
      </c>
      <c r="D143" s="19"/>
      <c r="E143" s="19"/>
      <c r="F143" s="155">
        <f t="shared" si="6"/>
        <v>0</v>
      </c>
      <c r="G143" s="163" t="e">
        <f t="shared" si="7"/>
        <v>#DIV/0!</v>
      </c>
    </row>
    <row r="144" spans="1:7" s="5" customFormat="1" ht="25.5" customHeight="1">
      <c r="A144" s="24" t="s">
        <v>381</v>
      </c>
      <c r="B144" s="124"/>
      <c r="C144" s="19">
        <v>1.5</v>
      </c>
      <c r="D144" s="19"/>
      <c r="E144" s="19"/>
      <c r="F144" s="155">
        <f t="shared" si="6"/>
        <v>0</v>
      </c>
      <c r="G144" s="163" t="e">
        <f t="shared" si="7"/>
        <v>#DIV/0!</v>
      </c>
    </row>
    <row r="145" spans="1:7" s="5" customFormat="1" ht="26.25" customHeight="1">
      <c r="A145" s="24" t="s">
        <v>557</v>
      </c>
      <c r="B145" s="124"/>
      <c r="C145" s="19">
        <v>8</v>
      </c>
      <c r="D145" s="19"/>
      <c r="E145" s="19"/>
      <c r="F145" s="155">
        <f t="shared" si="6"/>
        <v>0</v>
      </c>
      <c r="G145" s="163" t="e">
        <f t="shared" si="7"/>
        <v>#DIV/0!</v>
      </c>
    </row>
    <row r="146" spans="1:7" s="5" customFormat="1" ht="24" customHeight="1">
      <c r="A146" s="24" t="s">
        <v>382</v>
      </c>
      <c r="B146" s="124"/>
      <c r="C146" s="19">
        <v>13</v>
      </c>
      <c r="D146" s="19"/>
      <c r="E146" s="19"/>
      <c r="F146" s="155">
        <f t="shared" si="6"/>
        <v>0</v>
      </c>
      <c r="G146" s="163" t="e">
        <f t="shared" si="7"/>
        <v>#DIV/0!</v>
      </c>
    </row>
    <row r="147" spans="1:7" s="5" customFormat="1" ht="27" customHeight="1">
      <c r="A147" s="24" t="s">
        <v>558</v>
      </c>
      <c r="B147" s="124"/>
      <c r="C147" s="19">
        <v>4.5999999999999996</v>
      </c>
      <c r="D147" s="19"/>
      <c r="E147" s="19"/>
      <c r="F147" s="155">
        <f t="shared" si="6"/>
        <v>0</v>
      </c>
      <c r="G147" s="163" t="e">
        <f t="shared" si="7"/>
        <v>#DIV/0!</v>
      </c>
    </row>
    <row r="148" spans="1:7" s="5" customFormat="1" ht="23.25" customHeight="1">
      <c r="A148" s="24" t="s">
        <v>559</v>
      </c>
      <c r="B148" s="124"/>
      <c r="C148" s="19">
        <v>98.7</v>
      </c>
      <c r="D148" s="19"/>
      <c r="E148" s="19"/>
      <c r="F148" s="155">
        <f t="shared" si="6"/>
        <v>0</v>
      </c>
      <c r="G148" s="163" t="e">
        <f t="shared" si="7"/>
        <v>#DIV/0!</v>
      </c>
    </row>
    <row r="149" spans="1:7" s="5" customFormat="1" ht="24" customHeight="1">
      <c r="A149" s="24" t="s">
        <v>560</v>
      </c>
      <c r="B149" s="124"/>
      <c r="C149" s="19">
        <v>5</v>
      </c>
      <c r="D149" s="19"/>
      <c r="E149" s="19"/>
      <c r="F149" s="155">
        <f t="shared" si="6"/>
        <v>0</v>
      </c>
      <c r="G149" s="163" t="e">
        <f t="shared" si="7"/>
        <v>#DIV/0!</v>
      </c>
    </row>
    <row r="150" spans="1:7" s="5" customFormat="1" ht="24.75" customHeight="1">
      <c r="A150" s="24" t="s">
        <v>561</v>
      </c>
      <c r="B150" s="124"/>
      <c r="C150" s="19">
        <v>5</v>
      </c>
      <c r="D150" s="19"/>
      <c r="E150" s="19"/>
      <c r="F150" s="155">
        <f t="shared" si="6"/>
        <v>0</v>
      </c>
      <c r="G150" s="163" t="e">
        <f t="shared" si="7"/>
        <v>#DIV/0!</v>
      </c>
    </row>
    <row r="151" spans="1:7" s="5" customFormat="1" ht="26.25" customHeight="1">
      <c r="A151" s="24" t="s">
        <v>383</v>
      </c>
      <c r="B151" s="124"/>
      <c r="C151" s="19">
        <v>0.3</v>
      </c>
      <c r="D151" s="19"/>
      <c r="E151" s="19"/>
      <c r="F151" s="155">
        <f t="shared" si="6"/>
        <v>0</v>
      </c>
      <c r="G151" s="163" t="e">
        <f t="shared" si="7"/>
        <v>#DIV/0!</v>
      </c>
    </row>
    <row r="152" spans="1:7" s="5" customFormat="1" ht="23.25" customHeight="1">
      <c r="A152" s="24" t="s">
        <v>384</v>
      </c>
      <c r="B152" s="124"/>
      <c r="C152" s="19">
        <v>2.8</v>
      </c>
      <c r="D152" s="19"/>
      <c r="E152" s="19"/>
      <c r="F152" s="155">
        <f t="shared" si="6"/>
        <v>0</v>
      </c>
      <c r="G152" s="163" t="e">
        <f t="shared" si="7"/>
        <v>#DIV/0!</v>
      </c>
    </row>
    <row r="153" spans="1:7" s="5" customFormat="1" ht="24.75" customHeight="1">
      <c r="A153" s="24" t="s">
        <v>385</v>
      </c>
      <c r="B153" s="124"/>
      <c r="C153" s="19">
        <v>3</v>
      </c>
      <c r="D153" s="19"/>
      <c r="E153" s="19"/>
      <c r="F153" s="155">
        <f t="shared" si="6"/>
        <v>0</v>
      </c>
      <c r="G153" s="163" t="e">
        <f t="shared" si="7"/>
        <v>#DIV/0!</v>
      </c>
    </row>
    <row r="154" spans="1:7" s="5" customFormat="1" ht="24.75" customHeight="1">
      <c r="A154" s="24" t="s">
        <v>386</v>
      </c>
      <c r="B154" s="124"/>
      <c r="C154" s="19">
        <v>0.5</v>
      </c>
      <c r="D154" s="19"/>
      <c r="E154" s="19"/>
      <c r="F154" s="155">
        <f t="shared" si="6"/>
        <v>0</v>
      </c>
      <c r="G154" s="163" t="e">
        <f t="shared" si="7"/>
        <v>#DIV/0!</v>
      </c>
    </row>
    <row r="155" spans="1:7" s="5" customFormat="1" ht="23.25" customHeight="1">
      <c r="A155" s="24" t="s">
        <v>562</v>
      </c>
      <c r="B155" s="124"/>
      <c r="C155" s="19">
        <v>45</v>
      </c>
      <c r="D155" s="19"/>
      <c r="E155" s="19"/>
      <c r="F155" s="155">
        <f t="shared" si="6"/>
        <v>0</v>
      </c>
      <c r="G155" s="163" t="e">
        <f t="shared" si="7"/>
        <v>#DIV/0!</v>
      </c>
    </row>
    <row r="156" spans="1:7" s="5" customFormat="1" ht="23.25" customHeight="1">
      <c r="A156" s="24" t="s">
        <v>563</v>
      </c>
      <c r="B156" s="124"/>
      <c r="C156" s="19">
        <v>108</v>
      </c>
      <c r="D156" s="19"/>
      <c r="E156" s="19"/>
      <c r="F156" s="155">
        <f t="shared" si="6"/>
        <v>0</v>
      </c>
      <c r="G156" s="163" t="e">
        <f t="shared" si="7"/>
        <v>#DIV/0!</v>
      </c>
    </row>
    <row r="157" spans="1:7" s="5" customFormat="1" ht="39" customHeight="1">
      <c r="A157" s="24" t="s">
        <v>564</v>
      </c>
      <c r="B157" s="124"/>
      <c r="C157" s="19">
        <v>39</v>
      </c>
      <c r="D157" s="19"/>
      <c r="E157" s="19"/>
      <c r="F157" s="155">
        <f t="shared" si="6"/>
        <v>0</v>
      </c>
      <c r="G157" s="163" t="e">
        <f t="shared" si="7"/>
        <v>#DIV/0!</v>
      </c>
    </row>
    <row r="158" spans="1:7" s="5" customFormat="1" ht="23.25" customHeight="1">
      <c r="A158" s="24" t="s">
        <v>565</v>
      </c>
      <c r="B158" s="124"/>
      <c r="C158" s="19">
        <v>3</v>
      </c>
      <c r="D158" s="19"/>
      <c r="E158" s="19"/>
      <c r="F158" s="155">
        <f t="shared" si="6"/>
        <v>0</v>
      </c>
      <c r="G158" s="163" t="e">
        <f t="shared" si="7"/>
        <v>#DIV/0!</v>
      </c>
    </row>
    <row r="159" spans="1:7" s="5" customFormat="1" ht="28.5" customHeight="1">
      <c r="A159" s="24" t="s">
        <v>387</v>
      </c>
      <c r="B159" s="124"/>
      <c r="C159" s="19">
        <v>4</v>
      </c>
      <c r="D159" s="19"/>
      <c r="E159" s="19"/>
      <c r="F159" s="155">
        <f t="shared" si="6"/>
        <v>0</v>
      </c>
      <c r="G159" s="163" t="e">
        <f t="shared" si="7"/>
        <v>#DIV/0!</v>
      </c>
    </row>
    <row r="160" spans="1:7" s="5" customFormat="1" ht="24" customHeight="1">
      <c r="A160" s="24" t="s">
        <v>388</v>
      </c>
      <c r="B160" s="124"/>
      <c r="C160" s="19">
        <v>0.8</v>
      </c>
      <c r="D160" s="19"/>
      <c r="E160" s="19"/>
      <c r="F160" s="155">
        <f t="shared" si="6"/>
        <v>0</v>
      </c>
      <c r="G160" s="163" t="e">
        <f t="shared" si="7"/>
        <v>#DIV/0!</v>
      </c>
    </row>
    <row r="161" spans="1:7" s="5" customFormat="1" ht="24.75" customHeight="1">
      <c r="A161" s="24" t="s">
        <v>389</v>
      </c>
      <c r="B161" s="124"/>
      <c r="C161" s="19">
        <v>4</v>
      </c>
      <c r="D161" s="19"/>
      <c r="E161" s="19"/>
      <c r="F161" s="155">
        <f t="shared" si="6"/>
        <v>0</v>
      </c>
      <c r="G161" s="163" t="e">
        <f t="shared" si="7"/>
        <v>#DIV/0!</v>
      </c>
    </row>
    <row r="162" spans="1:7" s="5" customFormat="1" ht="24.75" customHeight="1">
      <c r="A162" s="24" t="s">
        <v>390</v>
      </c>
      <c r="B162" s="124"/>
      <c r="C162" s="19">
        <v>6</v>
      </c>
      <c r="D162" s="19"/>
      <c r="E162" s="19"/>
      <c r="F162" s="155">
        <f t="shared" si="6"/>
        <v>0</v>
      </c>
      <c r="G162" s="163" t="e">
        <f t="shared" si="7"/>
        <v>#DIV/0!</v>
      </c>
    </row>
    <row r="163" spans="1:7" s="5" customFormat="1" ht="24.75" customHeight="1">
      <c r="A163" s="24" t="s">
        <v>567</v>
      </c>
      <c r="B163" s="124"/>
      <c r="C163" s="19">
        <v>1.2</v>
      </c>
      <c r="D163" s="19"/>
      <c r="E163" s="19"/>
      <c r="F163" s="155">
        <f t="shared" si="6"/>
        <v>0</v>
      </c>
      <c r="G163" s="163" t="e">
        <f t="shared" si="7"/>
        <v>#DIV/0!</v>
      </c>
    </row>
    <row r="164" spans="1:7" s="5" customFormat="1" ht="26.25" customHeight="1">
      <c r="A164" s="24" t="s">
        <v>568</v>
      </c>
      <c r="B164" s="124"/>
      <c r="C164" s="19">
        <v>3.2</v>
      </c>
      <c r="D164" s="19"/>
      <c r="E164" s="19"/>
      <c r="F164" s="155">
        <f t="shared" si="6"/>
        <v>0</v>
      </c>
      <c r="G164" s="163" t="e">
        <f t="shared" si="7"/>
        <v>#DIV/0!</v>
      </c>
    </row>
    <row r="165" spans="1:7" s="5" customFormat="1" ht="24" customHeight="1">
      <c r="A165" s="24" t="s">
        <v>569</v>
      </c>
      <c r="B165" s="124"/>
      <c r="C165" s="19">
        <v>2.8</v>
      </c>
      <c r="D165" s="19"/>
      <c r="E165" s="19"/>
      <c r="F165" s="155">
        <f t="shared" si="6"/>
        <v>0</v>
      </c>
      <c r="G165" s="163" t="e">
        <f t="shared" si="7"/>
        <v>#DIV/0!</v>
      </c>
    </row>
    <row r="166" spans="1:7" s="5" customFormat="1" ht="39" customHeight="1">
      <c r="A166" s="24" t="s">
        <v>570</v>
      </c>
      <c r="B166" s="124"/>
      <c r="C166" s="19">
        <v>0.7</v>
      </c>
      <c r="D166" s="19"/>
      <c r="E166" s="19"/>
      <c r="F166" s="155">
        <f t="shared" si="6"/>
        <v>0</v>
      </c>
      <c r="G166" s="163" t="e">
        <f t="shared" si="7"/>
        <v>#DIV/0!</v>
      </c>
    </row>
    <row r="167" spans="1:7" s="5" customFormat="1" ht="27" customHeight="1">
      <c r="A167" s="24" t="s">
        <v>571</v>
      </c>
      <c r="B167" s="124"/>
      <c r="C167" s="19">
        <v>0.7</v>
      </c>
      <c r="D167" s="19"/>
      <c r="E167" s="19"/>
      <c r="F167" s="155">
        <f t="shared" si="6"/>
        <v>0</v>
      </c>
      <c r="G167" s="163" t="e">
        <f t="shared" si="7"/>
        <v>#DIV/0!</v>
      </c>
    </row>
    <row r="168" spans="1:7" s="5" customFormat="1" ht="26.25" customHeight="1">
      <c r="A168" s="24" t="s">
        <v>572</v>
      </c>
      <c r="B168" s="124"/>
      <c r="C168" s="19">
        <v>2.2999999999999998</v>
      </c>
      <c r="D168" s="19"/>
      <c r="E168" s="19"/>
      <c r="F168" s="155">
        <f t="shared" si="6"/>
        <v>0</v>
      </c>
      <c r="G168" s="163" t="e">
        <f t="shared" si="7"/>
        <v>#DIV/0!</v>
      </c>
    </row>
    <row r="169" spans="1:7" s="5" customFormat="1" ht="27" customHeight="1">
      <c r="A169" s="24" t="s">
        <v>573</v>
      </c>
      <c r="B169" s="124"/>
      <c r="C169" s="19">
        <v>0.4</v>
      </c>
      <c r="D169" s="19"/>
      <c r="E169" s="19"/>
      <c r="F169" s="155">
        <f t="shared" si="6"/>
        <v>0</v>
      </c>
      <c r="G169" s="163" t="e">
        <f t="shared" si="7"/>
        <v>#DIV/0!</v>
      </c>
    </row>
    <row r="170" spans="1:7" s="5" customFormat="1" ht="27" customHeight="1">
      <c r="A170" s="24" t="s">
        <v>574</v>
      </c>
      <c r="B170" s="124"/>
      <c r="C170" s="19">
        <v>2.2999999999999998</v>
      </c>
      <c r="D170" s="19"/>
      <c r="E170" s="19"/>
      <c r="F170" s="155">
        <f t="shared" si="6"/>
        <v>0</v>
      </c>
      <c r="G170" s="163" t="e">
        <f t="shared" si="7"/>
        <v>#DIV/0!</v>
      </c>
    </row>
    <row r="171" spans="1:7" s="5" customFormat="1" ht="22.5" customHeight="1">
      <c r="A171" s="24" t="s">
        <v>580</v>
      </c>
      <c r="B171" s="124"/>
      <c r="C171" s="19">
        <v>4</v>
      </c>
      <c r="D171" s="19"/>
      <c r="E171" s="19"/>
      <c r="F171" s="155">
        <f t="shared" si="6"/>
        <v>0</v>
      </c>
      <c r="G171" s="163" t="e">
        <f t="shared" si="7"/>
        <v>#DIV/0!</v>
      </c>
    </row>
    <row r="172" spans="1:7" s="5" customFormat="1" ht="28.5" customHeight="1">
      <c r="A172" s="24" t="s">
        <v>582</v>
      </c>
      <c r="B172" s="124"/>
      <c r="C172" s="19">
        <v>10.9</v>
      </c>
      <c r="D172" s="19"/>
      <c r="E172" s="19"/>
      <c r="F172" s="155">
        <f t="shared" si="6"/>
        <v>0</v>
      </c>
      <c r="G172" s="163" t="e">
        <f t="shared" si="7"/>
        <v>#DIV/0!</v>
      </c>
    </row>
    <row r="173" spans="1:7" s="5" customFormat="1" ht="39" customHeight="1">
      <c r="A173" s="24" t="s">
        <v>583</v>
      </c>
      <c r="B173" s="124"/>
      <c r="C173" s="19">
        <v>12.7</v>
      </c>
      <c r="D173" s="19"/>
      <c r="E173" s="19"/>
      <c r="F173" s="155">
        <f t="shared" si="6"/>
        <v>0</v>
      </c>
      <c r="G173" s="163" t="e">
        <f t="shared" si="7"/>
        <v>#DIV/0!</v>
      </c>
    </row>
    <row r="174" spans="1:7" s="5" customFormat="1" ht="27" customHeight="1">
      <c r="A174" s="24" t="s">
        <v>584</v>
      </c>
      <c r="B174" s="124"/>
      <c r="C174" s="19">
        <v>8</v>
      </c>
      <c r="D174" s="19"/>
      <c r="E174" s="19"/>
      <c r="F174" s="155">
        <f t="shared" si="6"/>
        <v>0</v>
      </c>
      <c r="G174" s="163" t="e">
        <f t="shared" si="7"/>
        <v>#DIV/0!</v>
      </c>
    </row>
    <row r="175" spans="1:7" s="5" customFormat="1" ht="39" customHeight="1">
      <c r="A175" s="24" t="s">
        <v>570</v>
      </c>
      <c r="B175" s="124"/>
      <c r="C175" s="19">
        <v>0.7</v>
      </c>
      <c r="D175" s="19"/>
      <c r="E175" s="19"/>
      <c r="F175" s="155">
        <f t="shared" si="6"/>
        <v>0</v>
      </c>
      <c r="G175" s="163" t="e">
        <f t="shared" si="7"/>
        <v>#DIV/0!</v>
      </c>
    </row>
    <row r="176" spans="1:7" s="5" customFormat="1" ht="43.5" customHeight="1">
      <c r="A176" s="24" t="s">
        <v>585</v>
      </c>
      <c r="B176" s="124"/>
      <c r="C176" s="19">
        <v>13.2</v>
      </c>
      <c r="D176" s="19"/>
      <c r="E176" s="19"/>
      <c r="F176" s="155">
        <f t="shared" si="6"/>
        <v>0</v>
      </c>
      <c r="G176" s="163" t="e">
        <f t="shared" si="7"/>
        <v>#DIV/0!</v>
      </c>
    </row>
    <row r="177" spans="1:7" s="5" customFormat="1" ht="43.5" customHeight="1">
      <c r="A177" s="24" t="s">
        <v>586</v>
      </c>
      <c r="B177" s="124"/>
      <c r="C177" s="19">
        <v>31.2</v>
      </c>
      <c r="D177" s="19"/>
      <c r="E177" s="19"/>
      <c r="F177" s="155">
        <f t="shared" si="6"/>
        <v>0</v>
      </c>
      <c r="G177" s="163" t="e">
        <f t="shared" si="7"/>
        <v>#DIV/0!</v>
      </c>
    </row>
    <row r="178" spans="1:7" s="5" customFormat="1" ht="41.25" customHeight="1">
      <c r="A178" s="24" t="s">
        <v>587</v>
      </c>
      <c r="B178" s="124"/>
      <c r="C178" s="19">
        <v>10.7</v>
      </c>
      <c r="D178" s="19"/>
      <c r="E178" s="19"/>
      <c r="F178" s="155">
        <f t="shared" si="6"/>
        <v>0</v>
      </c>
      <c r="G178" s="163" t="e">
        <f t="shared" si="7"/>
        <v>#DIV/0!</v>
      </c>
    </row>
    <row r="179" spans="1:7" s="5" customFormat="1" ht="39" customHeight="1">
      <c r="A179" s="24" t="s">
        <v>588</v>
      </c>
      <c r="B179" s="124"/>
      <c r="C179" s="19">
        <v>9.1999999999999993</v>
      </c>
      <c r="D179" s="19"/>
      <c r="E179" s="19"/>
      <c r="F179" s="155">
        <f t="shared" si="6"/>
        <v>0</v>
      </c>
      <c r="G179" s="163" t="e">
        <f t="shared" si="7"/>
        <v>#DIV/0!</v>
      </c>
    </row>
    <row r="180" spans="1:7" s="5" customFormat="1" ht="39" customHeight="1">
      <c r="A180" s="24" t="s">
        <v>589</v>
      </c>
      <c r="B180" s="12"/>
      <c r="C180" s="19">
        <v>14.1</v>
      </c>
      <c r="D180" s="19"/>
      <c r="E180" s="19"/>
      <c r="F180" s="155">
        <f t="shared" si="6"/>
        <v>0</v>
      </c>
      <c r="G180" s="163" t="e">
        <f t="shared" si="7"/>
        <v>#DIV/0!</v>
      </c>
    </row>
    <row r="181" spans="1:7" s="5" customFormat="1" ht="28.5" customHeight="1">
      <c r="A181" s="24" t="s">
        <v>590</v>
      </c>
      <c r="B181" s="12"/>
      <c r="C181" s="19">
        <v>15.3</v>
      </c>
      <c r="D181" s="19"/>
      <c r="E181" s="19"/>
      <c r="F181" s="155">
        <f t="shared" si="6"/>
        <v>0</v>
      </c>
      <c r="G181" s="163" t="e">
        <f t="shared" si="7"/>
        <v>#DIV/0!</v>
      </c>
    </row>
    <row r="182" spans="1:7" ht="24.75" customHeight="1">
      <c r="A182" s="180" t="s">
        <v>679</v>
      </c>
      <c r="B182" s="158">
        <v>3270</v>
      </c>
      <c r="C182" s="159">
        <f>SUM(C183:C187)</f>
        <v>999.9</v>
      </c>
      <c r="D182" s="159">
        <f>SUM(D183:D187)</f>
        <v>14632.1</v>
      </c>
      <c r="E182" s="159">
        <f>SUM(E183:E187)</f>
        <v>14669.6</v>
      </c>
      <c r="F182" s="159">
        <f t="shared" si="6"/>
        <v>37.5</v>
      </c>
      <c r="G182" s="162">
        <f t="shared" si="7"/>
        <v>100.25628583730291</v>
      </c>
    </row>
    <row r="183" spans="1:7" ht="91.5" customHeight="1">
      <c r="A183" s="197" t="s">
        <v>507</v>
      </c>
      <c r="B183" s="12"/>
      <c r="C183" s="19">
        <v>999.9</v>
      </c>
      <c r="D183" s="19">
        <v>6590</v>
      </c>
      <c r="E183" s="19">
        <v>6590</v>
      </c>
      <c r="F183" s="159">
        <f t="shared" si="6"/>
        <v>0</v>
      </c>
      <c r="G183" s="162">
        <f t="shared" si="7"/>
        <v>100</v>
      </c>
    </row>
    <row r="184" spans="1:7" ht="66.75" customHeight="1">
      <c r="A184" s="197" t="s">
        <v>508</v>
      </c>
      <c r="B184" s="12"/>
      <c r="C184" s="19"/>
      <c r="D184" s="19">
        <v>4449.6000000000004</v>
      </c>
      <c r="E184" s="19">
        <v>4449.6000000000004</v>
      </c>
      <c r="F184" s="159">
        <f t="shared" si="6"/>
        <v>0</v>
      </c>
      <c r="G184" s="162">
        <f t="shared" si="7"/>
        <v>100</v>
      </c>
    </row>
    <row r="185" spans="1:7" ht="90.75" customHeight="1">
      <c r="A185" s="197" t="s">
        <v>509</v>
      </c>
      <c r="B185" s="12"/>
      <c r="C185" s="19"/>
      <c r="D185" s="19">
        <v>214.9</v>
      </c>
      <c r="E185" s="19">
        <v>214.9</v>
      </c>
      <c r="F185" s="155">
        <f t="shared" si="6"/>
        <v>0</v>
      </c>
      <c r="G185" s="156">
        <f t="shared" si="7"/>
        <v>100</v>
      </c>
    </row>
    <row r="186" spans="1:7" ht="78.75" customHeight="1">
      <c r="A186" s="63" t="s">
        <v>510</v>
      </c>
      <c r="B186" s="12"/>
      <c r="C186" s="19"/>
      <c r="D186" s="19">
        <v>3377.6</v>
      </c>
      <c r="E186" s="19">
        <v>3377.6</v>
      </c>
      <c r="F186" s="155">
        <f t="shared" si="6"/>
        <v>0</v>
      </c>
      <c r="G186" s="156">
        <f t="shared" si="7"/>
        <v>100</v>
      </c>
    </row>
    <row r="187" spans="1:7" ht="86.25" customHeight="1">
      <c r="A187" s="84" t="s">
        <v>607</v>
      </c>
      <c r="B187" s="12"/>
      <c r="C187" s="19"/>
      <c r="D187" s="19"/>
      <c r="E187" s="19">
        <v>37.5</v>
      </c>
      <c r="F187" s="155">
        <f t="shared" si="6"/>
        <v>37.5</v>
      </c>
      <c r="G187" s="163" t="e">
        <f t="shared" si="7"/>
        <v>#DIV/0!</v>
      </c>
    </row>
    <row r="188" spans="1:7" s="5" customFormat="1" ht="19.5" customHeight="1">
      <c r="A188" s="188"/>
      <c r="B188" s="169"/>
      <c r="C188" s="34"/>
      <c r="D188" s="34"/>
      <c r="E188" s="34"/>
      <c r="F188" s="34"/>
      <c r="G188" s="100"/>
    </row>
    <row r="189" spans="1:7" ht="26.25" customHeight="1">
      <c r="A189" s="86" t="s">
        <v>246</v>
      </c>
      <c r="B189" s="32"/>
      <c r="C189" s="206"/>
      <c r="D189" s="206"/>
      <c r="E189" s="240"/>
      <c r="F189" s="213" t="s">
        <v>682</v>
      </c>
      <c r="G189" s="213"/>
    </row>
    <row r="190" spans="1:7">
      <c r="A190" s="187" t="s">
        <v>60</v>
      </c>
      <c r="B190" s="2"/>
      <c r="C190" s="207" t="s">
        <v>66</v>
      </c>
      <c r="D190" s="207"/>
      <c r="E190" s="188"/>
      <c r="F190" s="204" t="s">
        <v>17</v>
      </c>
      <c r="G190" s="204"/>
    </row>
    <row r="191" spans="1:7">
      <c r="A191" s="7"/>
      <c r="C191" s="126"/>
      <c r="D191" s="6"/>
      <c r="E191" s="6"/>
      <c r="F191" s="6"/>
    </row>
    <row r="192" spans="1:7">
      <c r="A192" s="7"/>
      <c r="C192" s="126"/>
      <c r="D192" s="6"/>
      <c r="E192" s="6"/>
      <c r="F192" s="6"/>
    </row>
    <row r="193" spans="1:6">
      <c r="A193" s="7"/>
      <c r="C193" s="126"/>
      <c r="D193" s="6"/>
      <c r="E193" s="6"/>
      <c r="F193" s="6"/>
    </row>
    <row r="194" spans="1:6">
      <c r="A194" s="7"/>
      <c r="C194" s="126"/>
      <c r="D194" s="6"/>
      <c r="E194" s="6"/>
      <c r="F194" s="6"/>
    </row>
    <row r="195" spans="1:6">
      <c r="A195" s="7"/>
      <c r="C195" s="126"/>
      <c r="D195" s="6"/>
      <c r="E195" s="6"/>
      <c r="F195" s="6"/>
    </row>
    <row r="196" spans="1:6">
      <c r="A196" s="7"/>
      <c r="C196" s="126"/>
      <c r="D196" s="6"/>
      <c r="E196" s="6"/>
      <c r="F196" s="6"/>
    </row>
    <row r="197" spans="1:6">
      <c r="A197" s="7"/>
      <c r="C197" s="126"/>
      <c r="D197" s="6"/>
      <c r="E197" s="6"/>
      <c r="F197" s="6"/>
    </row>
    <row r="198" spans="1:6">
      <c r="A198" s="7"/>
      <c r="C198" s="126"/>
      <c r="D198" s="6"/>
      <c r="E198" s="6"/>
      <c r="F198" s="6"/>
    </row>
    <row r="199" spans="1:6">
      <c r="A199" s="7"/>
      <c r="C199" s="126"/>
      <c r="D199" s="6"/>
      <c r="E199" s="6"/>
      <c r="F199" s="6"/>
    </row>
    <row r="200" spans="1:6">
      <c r="A200" s="7"/>
      <c r="C200" s="126"/>
      <c r="D200" s="6"/>
      <c r="E200" s="6"/>
      <c r="F200" s="6"/>
    </row>
    <row r="201" spans="1:6">
      <c r="A201" s="7"/>
      <c r="C201" s="126"/>
      <c r="D201" s="6"/>
      <c r="E201" s="6"/>
      <c r="F201" s="6"/>
    </row>
    <row r="202" spans="1:6">
      <c r="A202" s="7"/>
      <c r="C202" s="126"/>
      <c r="D202" s="6"/>
      <c r="E202" s="6"/>
      <c r="F202" s="6"/>
    </row>
    <row r="203" spans="1:6">
      <c r="A203" s="7"/>
      <c r="C203" s="126"/>
      <c r="D203" s="6"/>
      <c r="E203" s="6"/>
      <c r="F203" s="6"/>
    </row>
    <row r="204" spans="1:6">
      <c r="A204" s="7"/>
      <c r="C204" s="126"/>
      <c r="D204" s="6"/>
      <c r="E204" s="6"/>
      <c r="F204" s="6"/>
    </row>
    <row r="205" spans="1:6">
      <c r="A205" s="7"/>
      <c r="C205" s="126"/>
      <c r="D205" s="6"/>
      <c r="E205" s="6"/>
      <c r="F205" s="6"/>
    </row>
    <row r="206" spans="1:6">
      <c r="A206" s="7"/>
      <c r="C206" s="126"/>
      <c r="D206" s="6"/>
      <c r="E206" s="6"/>
      <c r="F206" s="6"/>
    </row>
    <row r="207" spans="1:6">
      <c r="A207" s="7"/>
      <c r="C207" s="126"/>
      <c r="D207" s="6"/>
      <c r="E207" s="6"/>
      <c r="F207" s="6"/>
    </row>
    <row r="208" spans="1:6">
      <c r="A208" s="7"/>
      <c r="C208" s="126"/>
      <c r="D208" s="6"/>
      <c r="E208" s="6"/>
      <c r="F208" s="6"/>
    </row>
    <row r="209" spans="1:6">
      <c r="A209" s="7"/>
      <c r="C209" s="126"/>
      <c r="D209" s="6"/>
      <c r="E209" s="6"/>
      <c r="F209" s="6"/>
    </row>
    <row r="210" spans="1:6">
      <c r="A210" s="7"/>
      <c r="C210" s="126"/>
      <c r="D210" s="6"/>
      <c r="E210" s="6"/>
      <c r="F210" s="6"/>
    </row>
    <row r="211" spans="1:6">
      <c r="A211" s="7"/>
      <c r="C211" s="126"/>
      <c r="D211" s="6"/>
      <c r="E211" s="6"/>
      <c r="F211" s="6"/>
    </row>
    <row r="212" spans="1:6">
      <c r="A212" s="7"/>
      <c r="C212" s="126"/>
      <c r="D212" s="6"/>
      <c r="E212" s="6"/>
      <c r="F212" s="6"/>
    </row>
    <row r="213" spans="1:6">
      <c r="A213" s="7"/>
      <c r="C213" s="126"/>
      <c r="D213" s="6"/>
      <c r="E213" s="6"/>
      <c r="F213" s="6"/>
    </row>
    <row r="214" spans="1:6">
      <c r="A214" s="7"/>
      <c r="C214" s="126"/>
      <c r="D214" s="6"/>
      <c r="E214" s="6"/>
      <c r="F214" s="6"/>
    </row>
    <row r="215" spans="1:6">
      <c r="A215" s="7"/>
      <c r="C215" s="126"/>
      <c r="D215" s="6"/>
      <c r="E215" s="6"/>
      <c r="F215" s="6"/>
    </row>
    <row r="216" spans="1:6">
      <c r="A216" s="7"/>
      <c r="C216" s="126"/>
      <c r="D216" s="6"/>
      <c r="E216" s="6"/>
      <c r="F216" s="6"/>
    </row>
    <row r="217" spans="1:6">
      <c r="A217" s="7"/>
      <c r="C217" s="126"/>
      <c r="D217" s="6"/>
      <c r="E217" s="6"/>
      <c r="F217" s="6"/>
    </row>
    <row r="218" spans="1:6">
      <c r="A218" s="7"/>
      <c r="C218" s="126"/>
      <c r="D218" s="6"/>
      <c r="E218" s="6"/>
      <c r="F218" s="6"/>
    </row>
    <row r="219" spans="1:6">
      <c r="A219" s="7"/>
      <c r="C219" s="126"/>
      <c r="D219" s="6"/>
      <c r="E219" s="6"/>
      <c r="F219" s="6"/>
    </row>
    <row r="220" spans="1:6">
      <c r="A220" s="7"/>
      <c r="C220" s="126"/>
      <c r="D220" s="6"/>
      <c r="E220" s="6"/>
      <c r="F220" s="6"/>
    </row>
    <row r="221" spans="1:6">
      <c r="A221" s="7"/>
      <c r="C221" s="126"/>
      <c r="D221" s="6"/>
      <c r="E221" s="6"/>
      <c r="F221" s="6"/>
    </row>
    <row r="222" spans="1:6">
      <c r="A222" s="7"/>
      <c r="C222" s="126"/>
      <c r="D222" s="6"/>
      <c r="E222" s="6"/>
      <c r="F222" s="6"/>
    </row>
    <row r="223" spans="1:6">
      <c r="A223" s="7"/>
      <c r="C223" s="126"/>
      <c r="D223" s="6"/>
      <c r="E223" s="6"/>
      <c r="F223" s="6"/>
    </row>
    <row r="224" spans="1:6">
      <c r="A224" s="7"/>
      <c r="C224" s="126"/>
      <c r="D224" s="6"/>
      <c r="E224" s="6"/>
      <c r="F224" s="6"/>
    </row>
    <row r="225" spans="1:6">
      <c r="A225" s="7"/>
      <c r="C225" s="126"/>
      <c r="D225" s="6"/>
      <c r="E225" s="6"/>
      <c r="F225" s="6"/>
    </row>
    <row r="226" spans="1:6">
      <c r="A226" s="7"/>
      <c r="C226" s="126"/>
      <c r="D226" s="6"/>
      <c r="E226" s="6"/>
      <c r="F226" s="6"/>
    </row>
    <row r="227" spans="1:6">
      <c r="A227" s="7"/>
      <c r="C227" s="126"/>
      <c r="D227" s="6"/>
      <c r="E227" s="6"/>
      <c r="F227" s="6"/>
    </row>
    <row r="228" spans="1:6">
      <c r="A228" s="7"/>
      <c r="C228" s="126"/>
      <c r="D228" s="6"/>
      <c r="E228" s="6"/>
      <c r="F228" s="6"/>
    </row>
    <row r="229" spans="1:6">
      <c r="A229" s="7"/>
      <c r="C229" s="126"/>
      <c r="D229" s="6"/>
      <c r="E229" s="6"/>
      <c r="F229" s="6"/>
    </row>
    <row r="230" spans="1:6">
      <c r="A230" s="7"/>
      <c r="C230" s="126"/>
      <c r="D230" s="6"/>
      <c r="E230" s="6"/>
      <c r="F230" s="6"/>
    </row>
    <row r="231" spans="1:6">
      <c r="A231" s="7"/>
      <c r="C231" s="126"/>
      <c r="D231" s="6"/>
      <c r="E231" s="6"/>
      <c r="F231" s="6"/>
    </row>
    <row r="232" spans="1:6">
      <c r="A232" s="7"/>
      <c r="C232" s="126"/>
      <c r="D232" s="6"/>
      <c r="E232" s="6"/>
      <c r="F232" s="6"/>
    </row>
    <row r="233" spans="1:6">
      <c r="A233" s="7"/>
      <c r="C233" s="126"/>
      <c r="D233" s="6"/>
      <c r="E233" s="6"/>
      <c r="F233" s="6"/>
    </row>
    <row r="234" spans="1:6">
      <c r="A234" s="7"/>
      <c r="C234" s="126"/>
      <c r="D234" s="6"/>
      <c r="E234" s="6"/>
      <c r="F234" s="6"/>
    </row>
    <row r="235" spans="1:6">
      <c r="A235" s="7"/>
      <c r="C235" s="126"/>
      <c r="D235" s="6"/>
      <c r="E235" s="6"/>
      <c r="F235" s="6"/>
    </row>
    <row r="236" spans="1:6">
      <c r="A236" s="7"/>
      <c r="C236" s="126"/>
      <c r="D236" s="6"/>
      <c r="E236" s="6"/>
      <c r="F236" s="6"/>
    </row>
    <row r="237" spans="1:6">
      <c r="A237" s="7"/>
      <c r="C237" s="126"/>
      <c r="D237" s="6"/>
      <c r="E237" s="6"/>
      <c r="F237" s="6"/>
    </row>
    <row r="238" spans="1:6">
      <c r="A238" s="7"/>
      <c r="C238" s="126"/>
      <c r="D238" s="6"/>
      <c r="E238" s="6"/>
      <c r="F238" s="6"/>
    </row>
    <row r="239" spans="1:6">
      <c r="A239" s="7"/>
      <c r="C239" s="126"/>
      <c r="D239" s="6"/>
      <c r="E239" s="6"/>
      <c r="F239" s="6"/>
    </row>
    <row r="240" spans="1:6">
      <c r="A240" s="7"/>
      <c r="C240" s="126"/>
      <c r="D240" s="6"/>
      <c r="E240" s="6"/>
      <c r="F240" s="6"/>
    </row>
    <row r="241" spans="1:6">
      <c r="A241" s="7"/>
      <c r="C241" s="126"/>
      <c r="D241" s="6"/>
      <c r="E241" s="6"/>
      <c r="F241" s="6"/>
    </row>
    <row r="242" spans="1:6">
      <c r="A242" s="7"/>
      <c r="C242" s="126"/>
      <c r="D242" s="6"/>
      <c r="E242" s="6"/>
      <c r="F242" s="6"/>
    </row>
    <row r="243" spans="1:6">
      <c r="A243" s="7"/>
      <c r="C243" s="126"/>
      <c r="D243" s="6"/>
      <c r="E243" s="6"/>
      <c r="F243" s="6"/>
    </row>
    <row r="244" spans="1:6">
      <c r="A244" s="7"/>
      <c r="C244" s="126"/>
      <c r="D244" s="6"/>
      <c r="E244" s="6"/>
      <c r="F244" s="6"/>
    </row>
    <row r="245" spans="1:6">
      <c r="A245" s="7"/>
    </row>
    <row r="246" spans="1:6">
      <c r="A246" s="8"/>
    </row>
    <row r="247" spans="1:6">
      <c r="A247" s="8"/>
    </row>
    <row r="248" spans="1:6">
      <c r="A248" s="8"/>
    </row>
    <row r="249" spans="1:6">
      <c r="A249" s="8"/>
    </row>
    <row r="250" spans="1:6">
      <c r="A250" s="8"/>
    </row>
    <row r="251" spans="1:6">
      <c r="A251" s="8"/>
    </row>
    <row r="252" spans="1:6">
      <c r="A252" s="8"/>
    </row>
    <row r="253" spans="1:6">
      <c r="A253" s="8"/>
    </row>
    <row r="254" spans="1:6">
      <c r="A254" s="8"/>
    </row>
    <row r="255" spans="1:6">
      <c r="A255" s="8"/>
    </row>
    <row r="256" spans="1:6">
      <c r="A256" s="8"/>
    </row>
    <row r="257" spans="1:1">
      <c r="A257" s="8"/>
    </row>
    <row r="258" spans="1:1">
      <c r="A258" s="8"/>
    </row>
    <row r="259" spans="1:1">
      <c r="A259" s="8"/>
    </row>
    <row r="260" spans="1:1">
      <c r="A260" s="8"/>
    </row>
    <row r="261" spans="1:1">
      <c r="A261" s="8"/>
    </row>
    <row r="262" spans="1:1">
      <c r="A262" s="8"/>
    </row>
    <row r="263" spans="1:1">
      <c r="A263" s="8"/>
    </row>
    <row r="264" spans="1:1">
      <c r="A264" s="8"/>
    </row>
    <row r="265" spans="1:1">
      <c r="A265" s="8"/>
    </row>
    <row r="266" spans="1:1">
      <c r="A266" s="8"/>
    </row>
    <row r="267" spans="1:1">
      <c r="A267" s="8"/>
    </row>
    <row r="268" spans="1:1">
      <c r="A268" s="8"/>
    </row>
    <row r="269" spans="1:1">
      <c r="A269" s="8"/>
    </row>
    <row r="270" spans="1:1">
      <c r="A270" s="8"/>
    </row>
    <row r="271" spans="1:1">
      <c r="A271" s="8"/>
    </row>
    <row r="272" spans="1:1">
      <c r="A272" s="8"/>
    </row>
    <row r="273" spans="1:1">
      <c r="A273" s="8"/>
    </row>
    <row r="274" spans="1:1">
      <c r="A274" s="8"/>
    </row>
    <row r="275" spans="1:1">
      <c r="A275" s="8"/>
    </row>
    <row r="276" spans="1:1">
      <c r="A276" s="8"/>
    </row>
    <row r="277" spans="1:1">
      <c r="A277" s="8"/>
    </row>
    <row r="278" spans="1:1">
      <c r="A278" s="8"/>
    </row>
    <row r="279" spans="1:1">
      <c r="A279" s="8"/>
    </row>
    <row r="280" spans="1:1">
      <c r="A280" s="8"/>
    </row>
    <row r="281" spans="1:1">
      <c r="A281" s="8"/>
    </row>
    <row r="282" spans="1:1">
      <c r="A282" s="8"/>
    </row>
    <row r="283" spans="1:1">
      <c r="A283" s="8"/>
    </row>
    <row r="284" spans="1:1">
      <c r="A284" s="8"/>
    </row>
    <row r="285" spans="1:1">
      <c r="A285" s="8"/>
    </row>
    <row r="286" spans="1:1">
      <c r="A286" s="8"/>
    </row>
    <row r="287" spans="1:1">
      <c r="A287" s="8"/>
    </row>
    <row r="288" spans="1:1">
      <c r="A288" s="8"/>
    </row>
    <row r="289" spans="1:1">
      <c r="A289" s="8"/>
    </row>
    <row r="290" spans="1:1">
      <c r="A290" s="8"/>
    </row>
    <row r="291" spans="1:1">
      <c r="A291" s="8"/>
    </row>
    <row r="292" spans="1:1">
      <c r="A292" s="8"/>
    </row>
    <row r="293" spans="1:1">
      <c r="A293" s="8"/>
    </row>
    <row r="294" spans="1:1">
      <c r="A294" s="8"/>
    </row>
    <row r="295" spans="1:1">
      <c r="A295" s="8"/>
    </row>
    <row r="296" spans="1:1">
      <c r="A296" s="8"/>
    </row>
    <row r="297" spans="1:1">
      <c r="A297" s="8"/>
    </row>
    <row r="298" spans="1:1">
      <c r="A298" s="8"/>
    </row>
    <row r="299" spans="1:1">
      <c r="A299" s="8"/>
    </row>
    <row r="300" spans="1:1">
      <c r="A300" s="8"/>
    </row>
    <row r="301" spans="1:1">
      <c r="A301" s="8"/>
    </row>
    <row r="302" spans="1:1">
      <c r="A302" s="8"/>
    </row>
    <row r="303" spans="1:1">
      <c r="A303" s="8"/>
    </row>
    <row r="304" spans="1:1">
      <c r="A304" s="8"/>
    </row>
    <row r="305" spans="1:1">
      <c r="A305" s="8"/>
    </row>
    <row r="306" spans="1:1">
      <c r="A306" s="8"/>
    </row>
    <row r="307" spans="1:1">
      <c r="A307" s="8"/>
    </row>
    <row r="308" spans="1:1">
      <c r="A308" s="8"/>
    </row>
    <row r="309" spans="1:1">
      <c r="A309" s="8"/>
    </row>
    <row r="310" spans="1:1">
      <c r="A310" s="8"/>
    </row>
    <row r="311" spans="1:1">
      <c r="A311" s="8"/>
    </row>
    <row r="312" spans="1:1">
      <c r="A312" s="8"/>
    </row>
    <row r="313" spans="1:1">
      <c r="A313" s="8"/>
    </row>
    <row r="314" spans="1:1">
      <c r="A314" s="8"/>
    </row>
    <row r="315" spans="1:1">
      <c r="A315" s="8"/>
    </row>
    <row r="316" spans="1:1">
      <c r="A316" s="8"/>
    </row>
    <row r="317" spans="1:1">
      <c r="A317" s="8"/>
    </row>
    <row r="318" spans="1:1">
      <c r="A318" s="8"/>
    </row>
    <row r="319" spans="1:1">
      <c r="A319" s="8"/>
    </row>
    <row r="320" spans="1:1">
      <c r="A320" s="8"/>
    </row>
    <row r="321" spans="1:1">
      <c r="A321" s="8"/>
    </row>
    <row r="322" spans="1:1">
      <c r="A322" s="8"/>
    </row>
    <row r="323" spans="1:1">
      <c r="A323" s="8"/>
    </row>
    <row r="324" spans="1:1">
      <c r="A324" s="8"/>
    </row>
    <row r="325" spans="1:1">
      <c r="A325" s="8"/>
    </row>
    <row r="326" spans="1:1">
      <c r="A326" s="8"/>
    </row>
    <row r="327" spans="1:1">
      <c r="A327" s="8"/>
    </row>
    <row r="328" spans="1:1">
      <c r="A328" s="8"/>
    </row>
    <row r="329" spans="1:1">
      <c r="A329" s="8"/>
    </row>
    <row r="330" spans="1:1">
      <c r="A330" s="8"/>
    </row>
    <row r="331" spans="1:1">
      <c r="A331" s="8"/>
    </row>
    <row r="332" spans="1:1">
      <c r="A332" s="8"/>
    </row>
    <row r="333" spans="1:1">
      <c r="A333" s="8"/>
    </row>
    <row r="334" spans="1:1">
      <c r="A334" s="8"/>
    </row>
    <row r="335" spans="1:1">
      <c r="A335" s="8"/>
    </row>
    <row r="336" spans="1:1">
      <c r="A336" s="8"/>
    </row>
    <row r="337" spans="1:1">
      <c r="A337" s="8"/>
    </row>
    <row r="338" spans="1:1">
      <c r="A338" s="8"/>
    </row>
    <row r="339" spans="1:1">
      <c r="A339" s="8"/>
    </row>
    <row r="340" spans="1:1">
      <c r="A340" s="8"/>
    </row>
    <row r="341" spans="1:1">
      <c r="A341" s="8"/>
    </row>
    <row r="342" spans="1:1">
      <c r="A342" s="8"/>
    </row>
    <row r="343" spans="1:1">
      <c r="A343" s="8"/>
    </row>
    <row r="344" spans="1:1">
      <c r="A344" s="8"/>
    </row>
    <row r="345" spans="1:1">
      <c r="A345" s="8"/>
    </row>
    <row r="346" spans="1:1">
      <c r="A346" s="8"/>
    </row>
    <row r="347" spans="1:1">
      <c r="A347" s="8"/>
    </row>
    <row r="348" spans="1:1">
      <c r="A348" s="8"/>
    </row>
    <row r="349" spans="1:1">
      <c r="A349" s="8"/>
    </row>
    <row r="350" spans="1:1">
      <c r="A350" s="8"/>
    </row>
    <row r="351" spans="1:1">
      <c r="A351" s="8"/>
    </row>
    <row r="352" spans="1:1">
      <c r="A352" s="8"/>
    </row>
    <row r="353" spans="1:1">
      <c r="A353" s="8"/>
    </row>
    <row r="354" spans="1:1">
      <c r="A354" s="8"/>
    </row>
    <row r="355" spans="1:1">
      <c r="A355" s="8"/>
    </row>
    <row r="356" spans="1:1">
      <c r="A356" s="8"/>
    </row>
    <row r="357" spans="1:1">
      <c r="A357" s="8"/>
    </row>
    <row r="358" spans="1:1">
      <c r="A358" s="8"/>
    </row>
    <row r="359" spans="1:1">
      <c r="A359" s="8"/>
    </row>
    <row r="360" spans="1:1">
      <c r="A360" s="8"/>
    </row>
    <row r="361" spans="1:1">
      <c r="A361" s="8"/>
    </row>
    <row r="362" spans="1:1">
      <c r="A362" s="8"/>
    </row>
    <row r="363" spans="1:1">
      <c r="A363" s="8"/>
    </row>
    <row r="364" spans="1:1">
      <c r="A364" s="8"/>
    </row>
    <row r="365" spans="1:1">
      <c r="A365" s="8"/>
    </row>
    <row r="366" spans="1:1">
      <c r="A366" s="8"/>
    </row>
    <row r="367" spans="1:1">
      <c r="A367" s="8"/>
    </row>
    <row r="368" spans="1:1">
      <c r="A368" s="8"/>
    </row>
    <row r="369" spans="1:1">
      <c r="A369" s="8"/>
    </row>
    <row r="370" spans="1:1">
      <c r="A370" s="8"/>
    </row>
    <row r="371" spans="1:1">
      <c r="A371" s="8"/>
    </row>
    <row r="372" spans="1:1">
      <c r="A372" s="8"/>
    </row>
    <row r="373" spans="1:1">
      <c r="A373" s="8"/>
    </row>
    <row r="374" spans="1:1">
      <c r="A374" s="8"/>
    </row>
    <row r="375" spans="1:1">
      <c r="A375" s="8"/>
    </row>
    <row r="376" spans="1:1">
      <c r="A376" s="8"/>
    </row>
    <row r="377" spans="1:1">
      <c r="A377" s="8"/>
    </row>
    <row r="378" spans="1:1">
      <c r="A378" s="8"/>
    </row>
    <row r="379" spans="1:1">
      <c r="A379" s="8"/>
    </row>
    <row r="380" spans="1:1">
      <c r="A380" s="8"/>
    </row>
    <row r="381" spans="1:1">
      <c r="A381" s="8"/>
    </row>
    <row r="382" spans="1:1">
      <c r="A382" s="8"/>
    </row>
    <row r="383" spans="1:1">
      <c r="A383" s="8"/>
    </row>
    <row r="384" spans="1:1">
      <c r="A384" s="8"/>
    </row>
    <row r="385" spans="1:1">
      <c r="A385" s="8"/>
    </row>
    <row r="386" spans="1:1">
      <c r="A386" s="8"/>
    </row>
    <row r="387" spans="1:1">
      <c r="A387" s="8"/>
    </row>
    <row r="388" spans="1:1">
      <c r="A388" s="8"/>
    </row>
    <row r="389" spans="1:1">
      <c r="A389" s="8"/>
    </row>
    <row r="390" spans="1:1">
      <c r="A390" s="8"/>
    </row>
    <row r="391" spans="1:1">
      <c r="A391" s="8"/>
    </row>
    <row r="392" spans="1:1">
      <c r="A392" s="8"/>
    </row>
    <row r="393" spans="1:1">
      <c r="A393" s="8"/>
    </row>
    <row r="394" spans="1:1">
      <c r="A394" s="8"/>
    </row>
    <row r="395" spans="1:1">
      <c r="A395" s="8"/>
    </row>
    <row r="396" spans="1:1">
      <c r="A396" s="8"/>
    </row>
    <row r="397" spans="1:1">
      <c r="A397" s="8"/>
    </row>
    <row r="398" spans="1:1">
      <c r="A398" s="8"/>
    </row>
    <row r="399" spans="1:1">
      <c r="A399" s="8"/>
    </row>
    <row r="400" spans="1:1">
      <c r="A400" s="8"/>
    </row>
    <row r="401" spans="1:1">
      <c r="A401" s="8"/>
    </row>
    <row r="402" spans="1:1">
      <c r="A402" s="8"/>
    </row>
    <row r="403" spans="1:1">
      <c r="A403" s="8"/>
    </row>
    <row r="404" spans="1:1">
      <c r="A404" s="8"/>
    </row>
    <row r="405" spans="1:1">
      <c r="A405" s="8"/>
    </row>
    <row r="406" spans="1:1">
      <c r="A406" s="8"/>
    </row>
    <row r="407" spans="1:1">
      <c r="A407" s="8"/>
    </row>
    <row r="408" spans="1:1">
      <c r="A408" s="8"/>
    </row>
    <row r="409" spans="1:1">
      <c r="A409" s="8"/>
    </row>
    <row r="410" spans="1:1">
      <c r="A410" s="8"/>
    </row>
    <row r="411" spans="1:1">
      <c r="A411" s="8"/>
    </row>
    <row r="412" spans="1:1">
      <c r="A412" s="8"/>
    </row>
  </sheetData>
  <mergeCells count="5">
    <mergeCell ref="A2:F2"/>
    <mergeCell ref="C189:D189"/>
    <mergeCell ref="F189:G189"/>
    <mergeCell ref="C190:D190"/>
    <mergeCell ref="F190:G190"/>
  </mergeCells>
  <pageMargins left="0.39370078740157483" right="0.39370078740157483" top="0.59055118110236227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K454"/>
  <sheetViews>
    <sheetView view="pageBreakPreview" topLeftCell="A82" zoomScale="70" zoomScaleSheetLayoutView="70" workbookViewId="0">
      <selection activeCell="L93" sqref="L93"/>
    </sheetView>
  </sheetViews>
  <sheetFormatPr defaultRowHeight="18.75"/>
  <cols>
    <col min="1" max="1" width="60.28515625" style="2" customWidth="1"/>
    <col min="2" max="2" width="13.140625" style="127" customWidth="1"/>
    <col min="3" max="3" width="16.140625" style="127" customWidth="1"/>
    <col min="4" max="4" width="16.7109375" style="127" customWidth="1"/>
    <col min="5" max="5" width="16.140625" style="127" customWidth="1"/>
    <col min="6" max="6" width="16" style="127" customWidth="1"/>
    <col min="7" max="7" width="16.42578125" style="2" customWidth="1"/>
    <col min="8" max="8" width="14.5703125" style="2" bestFit="1" customWidth="1"/>
    <col min="9" max="9" width="12.85546875" style="2" bestFit="1" customWidth="1"/>
    <col min="10" max="12" width="14.28515625" style="2" bestFit="1" customWidth="1"/>
    <col min="13" max="16384" width="9.140625" style="2"/>
  </cols>
  <sheetData>
    <row r="1" spans="1:9" s="131" customFormat="1" ht="27.75" customHeight="1">
      <c r="A1" s="205" t="s">
        <v>104</v>
      </c>
      <c r="B1" s="205"/>
      <c r="C1" s="205"/>
      <c r="D1" s="205"/>
      <c r="E1" s="205"/>
      <c r="F1" s="205"/>
    </row>
    <row r="2" spans="1:9" ht="19.5" customHeight="1">
      <c r="A2" s="174"/>
      <c r="B2" s="3"/>
      <c r="C2" s="130"/>
      <c r="D2" s="130"/>
      <c r="E2" s="130"/>
      <c r="F2" s="3"/>
      <c r="G2" s="183" t="s">
        <v>65</v>
      </c>
    </row>
    <row r="3" spans="1:9" ht="64.5" customHeight="1">
      <c r="A3" s="4" t="s">
        <v>23</v>
      </c>
      <c r="B3" s="12" t="s">
        <v>5</v>
      </c>
      <c r="C3" s="12" t="s">
        <v>482</v>
      </c>
      <c r="D3" s="12" t="s">
        <v>501</v>
      </c>
      <c r="E3" s="12" t="s">
        <v>480</v>
      </c>
      <c r="F3" s="122" t="s">
        <v>115</v>
      </c>
      <c r="G3" s="12" t="s">
        <v>116</v>
      </c>
    </row>
    <row r="4" spans="1:9" ht="24.75" customHeight="1">
      <c r="A4" s="4">
        <v>1</v>
      </c>
      <c r="B4" s="12">
        <v>2</v>
      </c>
      <c r="C4" s="12">
        <v>3</v>
      </c>
      <c r="D4" s="12">
        <v>4</v>
      </c>
      <c r="E4" s="12">
        <v>5</v>
      </c>
      <c r="F4" s="12">
        <v>6</v>
      </c>
      <c r="G4" s="4">
        <v>7</v>
      </c>
    </row>
    <row r="5" spans="1:9" ht="44.25" customHeight="1">
      <c r="A5" s="172" t="s">
        <v>13</v>
      </c>
      <c r="B5" s="129">
        <v>4000</v>
      </c>
      <c r="C5" s="15">
        <f>C6+C80+C224</f>
        <v>32031.100000000002</v>
      </c>
      <c r="D5" s="15">
        <f>D6+D80+D224</f>
        <v>21546.9</v>
      </c>
      <c r="E5" s="15">
        <f>E6+E80+E224</f>
        <v>27336.6</v>
      </c>
      <c r="F5" s="15">
        <f>E5-D5</f>
        <v>5789.6999999999971</v>
      </c>
      <c r="G5" s="184">
        <f>(E5/D5)*100</f>
        <v>126.87022263063363</v>
      </c>
      <c r="H5" s="21"/>
      <c r="I5" s="21"/>
    </row>
    <row r="6" spans="1:9" ht="27.75" customHeight="1">
      <c r="A6" s="77" t="s">
        <v>0</v>
      </c>
      <c r="B6" s="73">
        <v>4020</v>
      </c>
      <c r="C6" s="45">
        <f>SUM(C7:C79)</f>
        <v>30241.5</v>
      </c>
      <c r="D6" s="45">
        <f>SUM(D7:D79)</f>
        <v>6914.8</v>
      </c>
      <c r="E6" s="45">
        <f>SUM(E7:E79)</f>
        <v>11533.8</v>
      </c>
      <c r="F6" s="15">
        <f>E6-D6</f>
        <v>4618.9999999999991</v>
      </c>
      <c r="G6" s="184">
        <f>(E6/D6)*100</f>
        <v>166.79875050616067</v>
      </c>
    </row>
    <row r="7" spans="1:9" ht="27.75" customHeight="1">
      <c r="A7" s="24" t="s">
        <v>517</v>
      </c>
      <c r="B7" s="73"/>
      <c r="C7" s="88">
        <v>363.1</v>
      </c>
      <c r="D7" s="45"/>
      <c r="E7" s="45"/>
      <c r="F7" s="15">
        <f t="shared" ref="F7:F69" si="0">E7-D7</f>
        <v>0</v>
      </c>
      <c r="G7" s="185" t="e">
        <f t="shared" ref="G7:G69" si="1">(E7/D7)*100</f>
        <v>#DIV/0!</v>
      </c>
    </row>
    <row r="8" spans="1:9" ht="42" customHeight="1">
      <c r="A8" s="24" t="s">
        <v>518</v>
      </c>
      <c r="B8" s="73"/>
      <c r="C8" s="88">
        <v>118.8</v>
      </c>
      <c r="D8" s="45"/>
      <c r="E8" s="45"/>
      <c r="F8" s="15">
        <f t="shared" si="0"/>
        <v>0</v>
      </c>
      <c r="G8" s="185" t="e">
        <f t="shared" si="1"/>
        <v>#DIV/0!</v>
      </c>
    </row>
    <row r="9" spans="1:9" ht="45" customHeight="1">
      <c r="A9" s="24" t="s">
        <v>519</v>
      </c>
      <c r="B9" s="73"/>
      <c r="C9" s="88">
        <v>213.9</v>
      </c>
      <c r="D9" s="45"/>
      <c r="E9" s="45"/>
      <c r="F9" s="15">
        <f t="shared" si="0"/>
        <v>0</v>
      </c>
      <c r="G9" s="185" t="e">
        <f t="shared" si="1"/>
        <v>#DIV/0!</v>
      </c>
    </row>
    <row r="10" spans="1:9" ht="45" customHeight="1">
      <c r="A10" s="24" t="s">
        <v>520</v>
      </c>
      <c r="B10" s="73"/>
      <c r="C10" s="88">
        <v>378.5</v>
      </c>
      <c r="D10" s="45"/>
      <c r="E10" s="45"/>
      <c r="F10" s="15">
        <f t="shared" si="0"/>
        <v>0</v>
      </c>
      <c r="G10" s="185" t="e">
        <f t="shared" si="1"/>
        <v>#DIV/0!</v>
      </c>
    </row>
    <row r="11" spans="1:9" ht="45" customHeight="1">
      <c r="A11" s="24" t="s">
        <v>521</v>
      </c>
      <c r="B11" s="73"/>
      <c r="C11" s="88">
        <v>1015.2</v>
      </c>
      <c r="D11" s="45"/>
      <c r="E11" s="45"/>
      <c r="F11" s="15">
        <f t="shared" si="0"/>
        <v>0</v>
      </c>
      <c r="G11" s="185" t="e">
        <f t="shared" si="1"/>
        <v>#DIV/0!</v>
      </c>
    </row>
    <row r="12" spans="1:9" ht="45" customHeight="1">
      <c r="A12" s="24" t="s">
        <v>522</v>
      </c>
      <c r="B12" s="73"/>
      <c r="C12" s="88">
        <v>102.4</v>
      </c>
      <c r="D12" s="45"/>
      <c r="E12" s="45"/>
      <c r="F12" s="15">
        <f t="shared" si="0"/>
        <v>0</v>
      </c>
      <c r="G12" s="185" t="e">
        <f t="shared" si="1"/>
        <v>#DIV/0!</v>
      </c>
    </row>
    <row r="13" spans="1:9" ht="45" customHeight="1">
      <c r="A13" s="24" t="s">
        <v>523</v>
      </c>
      <c r="B13" s="73"/>
      <c r="C13" s="88">
        <v>21.9</v>
      </c>
      <c r="D13" s="45"/>
      <c r="E13" s="45"/>
      <c r="F13" s="15">
        <f t="shared" si="0"/>
        <v>0</v>
      </c>
      <c r="G13" s="185" t="e">
        <f t="shared" si="1"/>
        <v>#DIV/0!</v>
      </c>
    </row>
    <row r="14" spans="1:9" ht="57.75" customHeight="1">
      <c r="A14" s="24" t="s">
        <v>524</v>
      </c>
      <c r="B14" s="73"/>
      <c r="C14" s="88">
        <v>29.2</v>
      </c>
      <c r="D14" s="45"/>
      <c r="E14" s="45"/>
      <c r="F14" s="15">
        <f t="shared" si="0"/>
        <v>0</v>
      </c>
      <c r="G14" s="185" t="e">
        <f t="shared" si="1"/>
        <v>#DIV/0!</v>
      </c>
    </row>
    <row r="15" spans="1:9" ht="27.75" customHeight="1">
      <c r="A15" s="24" t="s">
        <v>525</v>
      </c>
      <c r="B15" s="73"/>
      <c r="C15" s="88">
        <v>20.100000000000001</v>
      </c>
      <c r="D15" s="45"/>
      <c r="E15" s="45"/>
      <c r="F15" s="15">
        <f t="shared" si="0"/>
        <v>0</v>
      </c>
      <c r="G15" s="185" t="e">
        <f t="shared" si="1"/>
        <v>#DIV/0!</v>
      </c>
    </row>
    <row r="16" spans="1:9" ht="40.5" customHeight="1">
      <c r="A16" s="24" t="s">
        <v>526</v>
      </c>
      <c r="B16" s="73"/>
      <c r="C16" s="88">
        <v>68.400000000000006</v>
      </c>
      <c r="D16" s="45"/>
      <c r="E16" s="45"/>
      <c r="F16" s="15">
        <f t="shared" si="0"/>
        <v>0</v>
      </c>
      <c r="G16" s="185" t="e">
        <f t="shared" si="1"/>
        <v>#DIV/0!</v>
      </c>
    </row>
    <row r="17" spans="1:7" ht="39.75" customHeight="1">
      <c r="A17" s="24" t="s">
        <v>527</v>
      </c>
      <c r="B17" s="73"/>
      <c r="C17" s="88">
        <v>116.2</v>
      </c>
      <c r="D17" s="45"/>
      <c r="E17" s="45"/>
      <c r="F17" s="15">
        <f t="shared" si="0"/>
        <v>0</v>
      </c>
      <c r="G17" s="185" t="e">
        <f t="shared" si="1"/>
        <v>#DIV/0!</v>
      </c>
    </row>
    <row r="18" spans="1:7" ht="27.75" customHeight="1">
      <c r="A18" s="24" t="s">
        <v>528</v>
      </c>
      <c r="B18" s="73"/>
      <c r="C18" s="88">
        <v>133</v>
      </c>
      <c r="D18" s="45"/>
      <c r="E18" s="125"/>
      <c r="F18" s="15">
        <f t="shared" si="0"/>
        <v>0</v>
      </c>
      <c r="G18" s="185" t="e">
        <f t="shared" si="1"/>
        <v>#DIV/0!</v>
      </c>
    </row>
    <row r="19" spans="1:7" ht="36" customHeight="1">
      <c r="A19" s="24" t="s">
        <v>529</v>
      </c>
      <c r="B19" s="73"/>
      <c r="C19" s="88">
        <v>78.900000000000006</v>
      </c>
      <c r="D19" s="45"/>
      <c r="E19" s="45"/>
      <c r="F19" s="15">
        <f t="shared" si="0"/>
        <v>0</v>
      </c>
      <c r="G19" s="185" t="e">
        <f t="shared" si="1"/>
        <v>#DIV/0!</v>
      </c>
    </row>
    <row r="20" spans="1:7" ht="27.75" customHeight="1">
      <c r="A20" s="24" t="s">
        <v>530</v>
      </c>
      <c r="B20" s="73"/>
      <c r="C20" s="88">
        <v>80</v>
      </c>
      <c r="D20" s="45"/>
      <c r="E20" s="45"/>
      <c r="F20" s="15">
        <f t="shared" si="0"/>
        <v>0</v>
      </c>
      <c r="G20" s="185" t="e">
        <f t="shared" si="1"/>
        <v>#DIV/0!</v>
      </c>
    </row>
    <row r="21" spans="1:7" ht="43.5" customHeight="1">
      <c r="A21" s="24" t="s">
        <v>531</v>
      </c>
      <c r="B21" s="73"/>
      <c r="C21" s="88">
        <v>7</v>
      </c>
      <c r="D21" s="45"/>
      <c r="E21" s="45"/>
      <c r="F21" s="15">
        <f t="shared" si="0"/>
        <v>0</v>
      </c>
      <c r="G21" s="185" t="e">
        <f t="shared" si="1"/>
        <v>#DIV/0!</v>
      </c>
    </row>
    <row r="22" spans="1:7" ht="45" customHeight="1">
      <c r="A22" s="24" t="s">
        <v>532</v>
      </c>
      <c r="B22" s="73"/>
      <c r="C22" s="88">
        <v>32.200000000000003</v>
      </c>
      <c r="D22" s="45"/>
      <c r="E22" s="45"/>
      <c r="F22" s="15">
        <f t="shared" si="0"/>
        <v>0</v>
      </c>
      <c r="G22" s="185" t="e">
        <f t="shared" si="1"/>
        <v>#DIV/0!</v>
      </c>
    </row>
    <row r="23" spans="1:7" ht="42" customHeight="1">
      <c r="A23" s="24" t="s">
        <v>533</v>
      </c>
      <c r="B23" s="73"/>
      <c r="C23" s="88">
        <v>225</v>
      </c>
      <c r="D23" s="45"/>
      <c r="E23" s="45"/>
      <c r="F23" s="15">
        <f t="shared" si="0"/>
        <v>0</v>
      </c>
      <c r="G23" s="185" t="e">
        <f t="shared" si="1"/>
        <v>#DIV/0!</v>
      </c>
    </row>
    <row r="24" spans="1:7" ht="42" customHeight="1">
      <c r="A24" s="24" t="s">
        <v>534</v>
      </c>
      <c r="B24" s="73"/>
      <c r="C24" s="88">
        <v>7896.6</v>
      </c>
      <c r="D24" s="45"/>
      <c r="E24" s="45"/>
      <c r="F24" s="15">
        <f t="shared" si="0"/>
        <v>0</v>
      </c>
      <c r="G24" s="185" t="e">
        <f t="shared" si="1"/>
        <v>#DIV/0!</v>
      </c>
    </row>
    <row r="25" spans="1:7" ht="32.25" customHeight="1">
      <c r="A25" s="24" t="s">
        <v>535</v>
      </c>
      <c r="B25" s="73"/>
      <c r="C25" s="88">
        <v>16.2</v>
      </c>
      <c r="D25" s="45"/>
      <c r="E25" s="45"/>
      <c r="F25" s="15">
        <f t="shared" si="0"/>
        <v>0</v>
      </c>
      <c r="G25" s="185" t="e">
        <f t="shared" si="1"/>
        <v>#DIV/0!</v>
      </c>
    </row>
    <row r="26" spans="1:7" ht="35.25" customHeight="1">
      <c r="A26" s="24" t="s">
        <v>536</v>
      </c>
      <c r="B26" s="73"/>
      <c r="C26" s="88">
        <v>218.2</v>
      </c>
      <c r="D26" s="45"/>
      <c r="E26" s="45"/>
      <c r="F26" s="15">
        <f t="shared" si="0"/>
        <v>0</v>
      </c>
      <c r="G26" s="185" t="e">
        <f t="shared" si="1"/>
        <v>#DIV/0!</v>
      </c>
    </row>
    <row r="27" spans="1:7" ht="27.75" customHeight="1">
      <c r="A27" s="24" t="s">
        <v>537</v>
      </c>
      <c r="B27" s="73"/>
      <c r="C27" s="88">
        <v>54.7</v>
      </c>
      <c r="D27" s="45"/>
      <c r="E27" s="45"/>
      <c r="F27" s="15">
        <f t="shared" si="0"/>
        <v>0</v>
      </c>
      <c r="G27" s="185" t="e">
        <f t="shared" si="1"/>
        <v>#DIV/0!</v>
      </c>
    </row>
    <row r="28" spans="1:7" ht="27.75" customHeight="1">
      <c r="A28" s="24" t="s">
        <v>538</v>
      </c>
      <c r="B28" s="73"/>
      <c r="C28" s="88">
        <v>3225.2</v>
      </c>
      <c r="D28" s="45"/>
      <c r="E28" s="45"/>
      <c r="F28" s="15">
        <f t="shared" si="0"/>
        <v>0</v>
      </c>
      <c r="G28" s="185" t="e">
        <f t="shared" si="1"/>
        <v>#DIV/0!</v>
      </c>
    </row>
    <row r="29" spans="1:7" ht="27.75" customHeight="1">
      <c r="A29" s="24" t="s">
        <v>539</v>
      </c>
      <c r="B29" s="73"/>
      <c r="C29" s="88">
        <v>29.1</v>
      </c>
      <c r="D29" s="45"/>
      <c r="E29" s="45"/>
      <c r="F29" s="15">
        <f t="shared" si="0"/>
        <v>0</v>
      </c>
      <c r="G29" s="185" t="e">
        <f t="shared" si="1"/>
        <v>#DIV/0!</v>
      </c>
    </row>
    <row r="30" spans="1:7" ht="27.75" customHeight="1">
      <c r="A30" s="24" t="s">
        <v>540</v>
      </c>
      <c r="B30" s="73"/>
      <c r="C30" s="88">
        <v>1495.1</v>
      </c>
      <c r="D30" s="45"/>
      <c r="E30" s="45"/>
      <c r="F30" s="15">
        <f t="shared" si="0"/>
        <v>0</v>
      </c>
      <c r="G30" s="185" t="e">
        <f t="shared" si="1"/>
        <v>#DIV/0!</v>
      </c>
    </row>
    <row r="31" spans="1:7" ht="42" customHeight="1">
      <c r="A31" s="24" t="s">
        <v>541</v>
      </c>
      <c r="B31" s="73"/>
      <c r="C31" s="88">
        <v>242.5</v>
      </c>
      <c r="D31" s="45"/>
      <c r="E31" s="45"/>
      <c r="F31" s="15">
        <f t="shared" si="0"/>
        <v>0</v>
      </c>
      <c r="G31" s="185" t="e">
        <f t="shared" si="1"/>
        <v>#DIV/0!</v>
      </c>
    </row>
    <row r="32" spans="1:7" ht="27.75" customHeight="1">
      <c r="A32" s="24" t="s">
        <v>542</v>
      </c>
      <c r="B32" s="73"/>
      <c r="C32" s="88">
        <v>242.5</v>
      </c>
      <c r="D32" s="45"/>
      <c r="E32" s="45"/>
      <c r="F32" s="15">
        <f t="shared" si="0"/>
        <v>0</v>
      </c>
      <c r="G32" s="185" t="e">
        <f t="shared" si="1"/>
        <v>#DIV/0!</v>
      </c>
    </row>
    <row r="33" spans="1:7" ht="40.5" customHeight="1">
      <c r="A33" s="24" t="s">
        <v>543</v>
      </c>
      <c r="B33" s="73"/>
      <c r="C33" s="88">
        <v>60.7</v>
      </c>
      <c r="D33" s="45"/>
      <c r="E33" s="45"/>
      <c r="F33" s="15">
        <f t="shared" si="0"/>
        <v>0</v>
      </c>
      <c r="G33" s="185" t="e">
        <f t="shared" si="1"/>
        <v>#DIV/0!</v>
      </c>
    </row>
    <row r="34" spans="1:7" ht="27.75" customHeight="1">
      <c r="A34" s="24" t="s">
        <v>544</v>
      </c>
      <c r="B34" s="73"/>
      <c r="C34" s="88">
        <v>519.29999999999995</v>
      </c>
      <c r="D34" s="45"/>
      <c r="E34" s="45"/>
      <c r="F34" s="15">
        <f t="shared" si="0"/>
        <v>0</v>
      </c>
      <c r="G34" s="185" t="e">
        <f t="shared" si="1"/>
        <v>#DIV/0!</v>
      </c>
    </row>
    <row r="35" spans="1:7" ht="84.75" customHeight="1">
      <c r="A35" s="24" t="s">
        <v>545</v>
      </c>
      <c r="B35" s="73"/>
      <c r="C35" s="88">
        <v>170.4</v>
      </c>
      <c r="D35" s="45"/>
      <c r="E35" s="45"/>
      <c r="F35" s="15">
        <f t="shared" si="0"/>
        <v>0</v>
      </c>
      <c r="G35" s="185" t="e">
        <f t="shared" si="1"/>
        <v>#DIV/0!</v>
      </c>
    </row>
    <row r="36" spans="1:7" ht="27.75" customHeight="1">
      <c r="A36" s="24" t="s">
        <v>546</v>
      </c>
      <c r="B36" s="73"/>
      <c r="C36" s="88">
        <v>939.8</v>
      </c>
      <c r="D36" s="45"/>
      <c r="E36" s="45"/>
      <c r="F36" s="15">
        <f t="shared" si="0"/>
        <v>0</v>
      </c>
      <c r="G36" s="185" t="e">
        <f t="shared" si="1"/>
        <v>#DIV/0!</v>
      </c>
    </row>
    <row r="37" spans="1:7" ht="27.75" customHeight="1">
      <c r="A37" s="24" t="s">
        <v>547</v>
      </c>
      <c r="B37" s="73"/>
      <c r="C37" s="88">
        <v>2980</v>
      </c>
      <c r="D37" s="45"/>
      <c r="E37" s="45"/>
      <c r="F37" s="15">
        <f t="shared" si="0"/>
        <v>0</v>
      </c>
      <c r="G37" s="185" t="e">
        <f t="shared" si="1"/>
        <v>#DIV/0!</v>
      </c>
    </row>
    <row r="38" spans="1:7" ht="42.75" customHeight="1">
      <c r="A38" s="24" t="s">
        <v>548</v>
      </c>
      <c r="B38" s="73"/>
      <c r="C38" s="19">
        <v>220.5</v>
      </c>
      <c r="D38" s="45"/>
      <c r="E38" s="45"/>
      <c r="F38" s="15">
        <f t="shared" si="0"/>
        <v>0</v>
      </c>
      <c r="G38" s="185" t="e">
        <f t="shared" si="1"/>
        <v>#DIV/0!</v>
      </c>
    </row>
    <row r="39" spans="1:7" ht="27.75" customHeight="1">
      <c r="A39" s="84" t="s">
        <v>219</v>
      </c>
      <c r="B39" s="73"/>
      <c r="C39" s="19">
        <v>162.5</v>
      </c>
      <c r="D39" s="45"/>
      <c r="E39" s="45"/>
      <c r="F39" s="15">
        <f t="shared" si="0"/>
        <v>0</v>
      </c>
      <c r="G39" s="185" t="e">
        <f t="shared" si="1"/>
        <v>#DIV/0!</v>
      </c>
    </row>
    <row r="40" spans="1:7" ht="41.25" customHeight="1">
      <c r="A40" s="22" t="s">
        <v>333</v>
      </c>
      <c r="B40" s="73"/>
      <c r="C40" s="19">
        <v>103.9</v>
      </c>
      <c r="D40" s="45"/>
      <c r="E40" s="45"/>
      <c r="F40" s="15">
        <f t="shared" si="0"/>
        <v>0</v>
      </c>
      <c r="G40" s="185" t="e">
        <f t="shared" si="1"/>
        <v>#DIV/0!</v>
      </c>
    </row>
    <row r="41" spans="1:7" ht="38.25" customHeight="1">
      <c r="A41" s="22" t="s">
        <v>334</v>
      </c>
      <c r="B41" s="73"/>
      <c r="C41" s="19">
        <v>158.6</v>
      </c>
      <c r="D41" s="45"/>
      <c r="E41" s="45"/>
      <c r="F41" s="15">
        <f t="shared" si="0"/>
        <v>0</v>
      </c>
      <c r="G41" s="185" t="e">
        <f t="shared" si="1"/>
        <v>#DIV/0!</v>
      </c>
    </row>
    <row r="42" spans="1:7" ht="27.75" customHeight="1">
      <c r="A42" s="22" t="s">
        <v>335</v>
      </c>
      <c r="B42" s="73"/>
      <c r="C42" s="19">
        <v>50.4</v>
      </c>
      <c r="D42" s="45"/>
      <c r="E42" s="45"/>
      <c r="F42" s="15">
        <f t="shared" si="0"/>
        <v>0</v>
      </c>
      <c r="G42" s="185" t="e">
        <f t="shared" si="1"/>
        <v>#DIV/0!</v>
      </c>
    </row>
    <row r="43" spans="1:7" ht="37.5" customHeight="1">
      <c r="A43" s="22" t="s">
        <v>336</v>
      </c>
      <c r="B43" s="73"/>
      <c r="C43" s="19">
        <v>2022.6</v>
      </c>
      <c r="D43" s="45"/>
      <c r="E43" s="45"/>
      <c r="F43" s="15">
        <f t="shared" si="0"/>
        <v>0</v>
      </c>
      <c r="G43" s="185" t="e">
        <f t="shared" si="1"/>
        <v>#DIV/0!</v>
      </c>
    </row>
    <row r="44" spans="1:7" ht="27.75" customHeight="1">
      <c r="A44" s="22" t="s">
        <v>337</v>
      </c>
      <c r="B44" s="73"/>
      <c r="C44" s="19">
        <v>455.4</v>
      </c>
      <c r="D44" s="45"/>
      <c r="E44" s="45"/>
      <c r="F44" s="15">
        <f t="shared" si="0"/>
        <v>0</v>
      </c>
      <c r="G44" s="185" t="e">
        <f t="shared" si="1"/>
        <v>#DIV/0!</v>
      </c>
    </row>
    <row r="45" spans="1:7" ht="27.75" customHeight="1">
      <c r="A45" s="27" t="s">
        <v>338</v>
      </c>
      <c r="B45" s="73"/>
      <c r="C45" s="19">
        <v>235.3</v>
      </c>
      <c r="D45" s="45"/>
      <c r="E45" s="45"/>
      <c r="F45" s="15">
        <f t="shared" si="0"/>
        <v>0</v>
      </c>
      <c r="G45" s="185" t="e">
        <f t="shared" si="1"/>
        <v>#DIV/0!</v>
      </c>
    </row>
    <row r="46" spans="1:7" ht="40.5" customHeight="1">
      <c r="A46" s="22" t="s">
        <v>339</v>
      </c>
      <c r="B46" s="73"/>
      <c r="C46" s="19">
        <v>307.5</v>
      </c>
      <c r="D46" s="45"/>
      <c r="E46" s="45"/>
      <c r="F46" s="15">
        <f t="shared" si="0"/>
        <v>0</v>
      </c>
      <c r="G46" s="185" t="e">
        <f t="shared" si="1"/>
        <v>#DIV/0!</v>
      </c>
    </row>
    <row r="47" spans="1:7" ht="40.5" customHeight="1">
      <c r="A47" s="22" t="s">
        <v>361</v>
      </c>
      <c r="B47" s="73"/>
      <c r="C47" s="19">
        <v>45.7</v>
      </c>
      <c r="D47" s="45"/>
      <c r="E47" s="45"/>
      <c r="F47" s="15">
        <f t="shared" si="0"/>
        <v>0</v>
      </c>
      <c r="G47" s="185" t="e">
        <f t="shared" si="1"/>
        <v>#DIV/0!</v>
      </c>
    </row>
    <row r="48" spans="1:7" ht="27.75" customHeight="1">
      <c r="A48" s="22" t="s">
        <v>362</v>
      </c>
      <c r="B48" s="73"/>
      <c r="C48" s="19">
        <v>106.1</v>
      </c>
      <c r="D48" s="45"/>
      <c r="E48" s="45"/>
      <c r="F48" s="15">
        <f t="shared" si="0"/>
        <v>0</v>
      </c>
      <c r="G48" s="185" t="e">
        <f t="shared" si="1"/>
        <v>#DIV/0!</v>
      </c>
    </row>
    <row r="49" spans="1:7" ht="35.25" customHeight="1">
      <c r="A49" s="22" t="s">
        <v>363</v>
      </c>
      <c r="B49" s="73"/>
      <c r="C49" s="19">
        <v>341.1</v>
      </c>
      <c r="D49" s="45"/>
      <c r="E49" s="45"/>
      <c r="F49" s="15">
        <f t="shared" si="0"/>
        <v>0</v>
      </c>
      <c r="G49" s="185" t="e">
        <f t="shared" si="1"/>
        <v>#DIV/0!</v>
      </c>
    </row>
    <row r="50" spans="1:7" ht="27.75" customHeight="1">
      <c r="A50" s="22" t="s">
        <v>364</v>
      </c>
      <c r="B50" s="73"/>
      <c r="C50" s="19">
        <v>3650</v>
      </c>
      <c r="D50" s="45"/>
      <c r="E50" s="45"/>
      <c r="F50" s="15">
        <f t="shared" si="0"/>
        <v>0</v>
      </c>
      <c r="G50" s="185" t="e">
        <f t="shared" si="1"/>
        <v>#DIV/0!</v>
      </c>
    </row>
    <row r="51" spans="1:7" ht="27.75" customHeight="1">
      <c r="A51" s="22" t="s">
        <v>365</v>
      </c>
      <c r="B51" s="73"/>
      <c r="C51" s="19">
        <v>290</v>
      </c>
      <c r="D51" s="45"/>
      <c r="E51" s="45"/>
      <c r="F51" s="15">
        <f t="shared" si="0"/>
        <v>0</v>
      </c>
      <c r="G51" s="185" t="e">
        <f t="shared" si="1"/>
        <v>#DIV/0!</v>
      </c>
    </row>
    <row r="52" spans="1:7" ht="27.75" customHeight="1">
      <c r="A52" s="22" t="s">
        <v>366</v>
      </c>
      <c r="B52" s="73"/>
      <c r="C52" s="19">
        <v>46</v>
      </c>
      <c r="D52" s="45"/>
      <c r="E52" s="45"/>
      <c r="F52" s="15">
        <f t="shared" si="0"/>
        <v>0</v>
      </c>
      <c r="G52" s="185" t="e">
        <f t="shared" si="1"/>
        <v>#DIV/0!</v>
      </c>
    </row>
    <row r="53" spans="1:7" ht="27.75" customHeight="1">
      <c r="A53" s="22" t="s">
        <v>366</v>
      </c>
      <c r="B53" s="73"/>
      <c r="C53" s="19">
        <v>40</v>
      </c>
      <c r="D53" s="45"/>
      <c r="E53" s="45"/>
      <c r="F53" s="15">
        <f t="shared" si="0"/>
        <v>0</v>
      </c>
      <c r="G53" s="185" t="e">
        <f t="shared" si="1"/>
        <v>#DIV/0!</v>
      </c>
    </row>
    <row r="54" spans="1:7" ht="43.5" customHeight="1">
      <c r="A54" s="22" t="s">
        <v>360</v>
      </c>
      <c r="B54" s="73"/>
      <c r="C54" s="19">
        <v>911.8</v>
      </c>
      <c r="D54" s="45"/>
      <c r="E54" s="45"/>
      <c r="F54" s="15">
        <f t="shared" si="0"/>
        <v>0</v>
      </c>
      <c r="G54" s="185" t="e">
        <f t="shared" si="1"/>
        <v>#DIV/0!</v>
      </c>
    </row>
    <row r="55" spans="1:7" ht="31.5" customHeight="1">
      <c r="A55" s="84" t="s">
        <v>502</v>
      </c>
      <c r="B55" s="73"/>
      <c r="C55" s="19"/>
      <c r="D55" s="19">
        <v>5148</v>
      </c>
      <c r="E55" s="19">
        <v>5148</v>
      </c>
      <c r="F55" s="15">
        <f t="shared" si="0"/>
        <v>0</v>
      </c>
      <c r="G55" s="184">
        <f t="shared" si="1"/>
        <v>100</v>
      </c>
    </row>
    <row r="56" spans="1:7" ht="34.5" customHeight="1">
      <c r="A56" s="84" t="s">
        <v>721</v>
      </c>
      <c r="B56" s="73"/>
      <c r="C56" s="19"/>
      <c r="D56" s="19">
        <v>191.8</v>
      </c>
      <c r="E56" s="19">
        <v>191.8</v>
      </c>
      <c r="F56" s="15">
        <f t="shared" si="0"/>
        <v>0</v>
      </c>
      <c r="G56" s="184">
        <f t="shared" si="1"/>
        <v>100</v>
      </c>
    </row>
    <row r="57" spans="1:7" ht="48" customHeight="1">
      <c r="A57" s="84" t="s">
        <v>504</v>
      </c>
      <c r="B57" s="73"/>
      <c r="C57" s="19"/>
      <c r="D57" s="19">
        <v>217</v>
      </c>
      <c r="E57" s="19">
        <v>217</v>
      </c>
      <c r="F57" s="15">
        <f t="shared" si="0"/>
        <v>0</v>
      </c>
      <c r="G57" s="184">
        <f t="shared" si="1"/>
        <v>100</v>
      </c>
    </row>
    <row r="58" spans="1:7" ht="46.5" customHeight="1">
      <c r="A58" s="84" t="s">
        <v>505</v>
      </c>
      <c r="B58" s="73"/>
      <c r="C58" s="19"/>
      <c r="D58" s="19">
        <v>116.8</v>
      </c>
      <c r="E58" s="19">
        <v>116.8</v>
      </c>
      <c r="F58" s="15">
        <f t="shared" si="0"/>
        <v>0</v>
      </c>
      <c r="G58" s="184">
        <f t="shared" si="1"/>
        <v>100</v>
      </c>
    </row>
    <row r="59" spans="1:7" ht="32.25" customHeight="1">
      <c r="A59" s="84" t="s">
        <v>506</v>
      </c>
      <c r="B59" s="73"/>
      <c r="C59" s="19"/>
      <c r="D59" s="19">
        <v>340</v>
      </c>
      <c r="E59" s="19">
        <v>340</v>
      </c>
      <c r="F59" s="15">
        <f t="shared" si="0"/>
        <v>0</v>
      </c>
      <c r="G59" s="184">
        <f t="shared" si="1"/>
        <v>100</v>
      </c>
    </row>
    <row r="60" spans="1:7" ht="35.25" customHeight="1">
      <c r="A60" s="84" t="s">
        <v>641</v>
      </c>
      <c r="B60" s="73"/>
      <c r="C60" s="19"/>
      <c r="D60" s="19">
        <v>901.2</v>
      </c>
      <c r="E60" s="19">
        <v>901.2</v>
      </c>
      <c r="F60" s="15">
        <f t="shared" si="0"/>
        <v>0</v>
      </c>
      <c r="G60" s="184">
        <f t="shared" si="1"/>
        <v>100</v>
      </c>
    </row>
    <row r="61" spans="1:7" ht="31.5" customHeight="1">
      <c r="A61" s="24" t="s">
        <v>594</v>
      </c>
      <c r="B61" s="73"/>
      <c r="C61" s="19"/>
      <c r="D61" s="19"/>
      <c r="E61" s="19">
        <v>40</v>
      </c>
      <c r="F61" s="15">
        <f t="shared" si="0"/>
        <v>40</v>
      </c>
      <c r="G61" s="185" t="e">
        <f t="shared" si="1"/>
        <v>#DIV/0!</v>
      </c>
    </row>
    <row r="62" spans="1:7" ht="25.5" customHeight="1">
      <c r="A62" s="24" t="s">
        <v>595</v>
      </c>
      <c r="B62" s="73"/>
      <c r="C62" s="19"/>
      <c r="D62" s="19"/>
      <c r="E62" s="19">
        <v>30.5</v>
      </c>
      <c r="F62" s="15">
        <f t="shared" si="0"/>
        <v>30.5</v>
      </c>
      <c r="G62" s="185" t="e">
        <f t="shared" si="1"/>
        <v>#DIV/0!</v>
      </c>
    </row>
    <row r="63" spans="1:7" ht="43.5" customHeight="1">
      <c r="A63" s="24" t="s">
        <v>261</v>
      </c>
      <c r="B63" s="73"/>
      <c r="C63" s="19"/>
      <c r="D63" s="19"/>
      <c r="E63" s="19">
        <v>258.5</v>
      </c>
      <c r="F63" s="15">
        <f t="shared" si="0"/>
        <v>258.5</v>
      </c>
      <c r="G63" s="185" t="e">
        <f t="shared" si="1"/>
        <v>#DIV/0!</v>
      </c>
    </row>
    <row r="64" spans="1:7" ht="32.25" customHeight="1">
      <c r="A64" s="24" t="s">
        <v>642</v>
      </c>
      <c r="B64" s="73"/>
      <c r="C64" s="19"/>
      <c r="D64" s="19"/>
      <c r="E64" s="19">
        <v>860</v>
      </c>
      <c r="F64" s="15">
        <f t="shared" si="0"/>
        <v>860</v>
      </c>
      <c r="G64" s="185" t="e">
        <f t="shared" si="1"/>
        <v>#DIV/0!</v>
      </c>
    </row>
    <row r="65" spans="1:11" ht="32.25" customHeight="1">
      <c r="A65" s="24" t="s">
        <v>345</v>
      </c>
      <c r="B65" s="73"/>
      <c r="C65" s="19"/>
      <c r="D65" s="19"/>
      <c r="E65" s="19">
        <v>25.6</v>
      </c>
      <c r="F65" s="15">
        <f t="shared" si="0"/>
        <v>25.6</v>
      </c>
      <c r="G65" s="185" t="e">
        <f t="shared" si="1"/>
        <v>#DIV/0!</v>
      </c>
    </row>
    <row r="66" spans="1:11" ht="31.5" customHeight="1">
      <c r="A66" s="24" t="s">
        <v>606</v>
      </c>
      <c r="B66" s="73"/>
      <c r="C66" s="19"/>
      <c r="D66" s="19"/>
      <c r="E66" s="19">
        <v>385.2</v>
      </c>
      <c r="F66" s="15">
        <f t="shared" si="0"/>
        <v>385.2</v>
      </c>
      <c r="G66" s="185" t="e">
        <f t="shared" si="1"/>
        <v>#DIV/0!</v>
      </c>
    </row>
    <row r="67" spans="1:11" ht="44.25" customHeight="1">
      <c r="A67" s="24" t="s">
        <v>346</v>
      </c>
      <c r="B67" s="73"/>
      <c r="C67" s="19"/>
      <c r="D67" s="19"/>
      <c r="E67" s="19">
        <v>593.29999999999995</v>
      </c>
      <c r="F67" s="15">
        <f t="shared" si="0"/>
        <v>593.29999999999995</v>
      </c>
      <c r="G67" s="185" t="e">
        <f t="shared" si="1"/>
        <v>#DIV/0!</v>
      </c>
    </row>
    <row r="68" spans="1:11" ht="32.25" customHeight="1">
      <c r="A68" s="24" t="s">
        <v>596</v>
      </c>
      <c r="B68" s="73"/>
      <c r="C68" s="19"/>
      <c r="D68" s="19"/>
      <c r="E68" s="19">
        <v>42.1</v>
      </c>
      <c r="F68" s="15">
        <f t="shared" si="0"/>
        <v>42.1</v>
      </c>
      <c r="G68" s="185" t="e">
        <f t="shared" si="1"/>
        <v>#DIV/0!</v>
      </c>
    </row>
    <row r="69" spans="1:11" ht="27" customHeight="1">
      <c r="A69" s="25" t="s">
        <v>414</v>
      </c>
      <c r="B69" s="73"/>
      <c r="C69" s="19"/>
      <c r="D69" s="19"/>
      <c r="E69" s="19">
        <v>368.3</v>
      </c>
      <c r="F69" s="15">
        <f t="shared" si="0"/>
        <v>368.3</v>
      </c>
      <c r="G69" s="185" t="e">
        <f t="shared" si="1"/>
        <v>#DIV/0!</v>
      </c>
    </row>
    <row r="70" spans="1:11" ht="24" customHeight="1">
      <c r="A70" s="24" t="s">
        <v>440</v>
      </c>
      <c r="B70" s="101"/>
      <c r="C70" s="53"/>
      <c r="D70" s="53"/>
      <c r="E70" s="19">
        <v>40</v>
      </c>
      <c r="F70" s="15">
        <f t="shared" ref="F70:F105" si="2">E70-D70</f>
        <v>40</v>
      </c>
      <c r="G70" s="185" t="e">
        <f t="shared" ref="G70:G105" si="3">(E70/D70)*100</f>
        <v>#DIV/0!</v>
      </c>
    </row>
    <row r="71" spans="1:11" ht="39" customHeight="1">
      <c r="A71" s="24" t="s">
        <v>597</v>
      </c>
      <c r="B71" s="101"/>
      <c r="C71" s="19"/>
      <c r="D71" s="53"/>
      <c r="E71" s="19">
        <v>25.9</v>
      </c>
      <c r="F71" s="15">
        <f t="shared" si="2"/>
        <v>25.9</v>
      </c>
      <c r="G71" s="185" t="e">
        <f t="shared" si="3"/>
        <v>#DIV/0!</v>
      </c>
    </row>
    <row r="72" spans="1:11" ht="46.5" customHeight="1">
      <c r="A72" s="24" t="s">
        <v>598</v>
      </c>
      <c r="B72" s="101"/>
      <c r="C72" s="19"/>
      <c r="D72" s="19"/>
      <c r="E72" s="19">
        <v>113.6</v>
      </c>
      <c r="F72" s="15">
        <f t="shared" si="2"/>
        <v>113.6</v>
      </c>
      <c r="G72" s="185" t="e">
        <f t="shared" si="3"/>
        <v>#DIV/0!</v>
      </c>
    </row>
    <row r="73" spans="1:11" ht="23.25" customHeight="1">
      <c r="A73" s="24" t="s">
        <v>599</v>
      </c>
      <c r="B73" s="101"/>
      <c r="C73" s="19"/>
      <c r="D73" s="19"/>
      <c r="E73" s="19">
        <v>590</v>
      </c>
      <c r="F73" s="15">
        <f t="shared" si="2"/>
        <v>590</v>
      </c>
      <c r="G73" s="185" t="e">
        <f t="shared" si="3"/>
        <v>#DIV/0!</v>
      </c>
    </row>
    <row r="74" spans="1:11" ht="48.75" customHeight="1">
      <c r="A74" s="24" t="s">
        <v>600</v>
      </c>
      <c r="B74" s="101"/>
      <c r="C74" s="19"/>
      <c r="D74" s="19"/>
      <c r="E74" s="19">
        <v>688.5</v>
      </c>
      <c r="F74" s="15">
        <f t="shared" si="2"/>
        <v>688.5</v>
      </c>
      <c r="G74" s="186" t="e">
        <f t="shared" si="3"/>
        <v>#DIV/0!</v>
      </c>
    </row>
    <row r="75" spans="1:11" ht="43.5" customHeight="1">
      <c r="A75" s="24" t="s">
        <v>601</v>
      </c>
      <c r="B75" s="101"/>
      <c r="C75" s="19"/>
      <c r="D75" s="19"/>
      <c r="E75" s="19">
        <v>231.2</v>
      </c>
      <c r="F75" s="15">
        <f t="shared" si="2"/>
        <v>231.2</v>
      </c>
      <c r="G75" s="186" t="e">
        <f t="shared" si="3"/>
        <v>#DIV/0!</v>
      </c>
    </row>
    <row r="76" spans="1:11" ht="28.5" customHeight="1">
      <c r="A76" s="24" t="s">
        <v>602</v>
      </c>
      <c r="B76" s="101"/>
      <c r="C76" s="19"/>
      <c r="D76" s="19"/>
      <c r="E76" s="19">
        <v>141</v>
      </c>
      <c r="F76" s="15">
        <f t="shared" si="2"/>
        <v>141</v>
      </c>
      <c r="G76" s="186" t="e">
        <f t="shared" si="3"/>
        <v>#DIV/0!</v>
      </c>
    </row>
    <row r="77" spans="1:11" ht="46.5" customHeight="1">
      <c r="A77" s="24" t="s">
        <v>722</v>
      </c>
      <c r="B77" s="101"/>
      <c r="C77" s="19"/>
      <c r="D77" s="19"/>
      <c r="E77" s="19">
        <v>97.8</v>
      </c>
      <c r="F77" s="15">
        <f t="shared" si="2"/>
        <v>97.8</v>
      </c>
      <c r="G77" s="186" t="e">
        <f t="shared" si="3"/>
        <v>#DIV/0!</v>
      </c>
    </row>
    <row r="78" spans="1:11" ht="38.25" customHeight="1">
      <c r="A78" s="24" t="s">
        <v>604</v>
      </c>
      <c r="B78" s="101"/>
      <c r="C78" s="19"/>
      <c r="D78" s="19"/>
      <c r="E78" s="19">
        <v>34.5</v>
      </c>
      <c r="F78" s="15">
        <f t="shared" si="2"/>
        <v>34.5</v>
      </c>
      <c r="G78" s="186" t="e">
        <f t="shared" si="3"/>
        <v>#DIV/0!</v>
      </c>
    </row>
    <row r="79" spans="1:11" ht="65.25" customHeight="1">
      <c r="A79" s="24" t="s">
        <v>605</v>
      </c>
      <c r="B79" s="101"/>
      <c r="C79" s="19"/>
      <c r="D79" s="19"/>
      <c r="E79" s="19">
        <v>53</v>
      </c>
      <c r="F79" s="15">
        <f t="shared" si="2"/>
        <v>53</v>
      </c>
      <c r="G79" s="186" t="e">
        <f t="shared" si="3"/>
        <v>#DIV/0!</v>
      </c>
    </row>
    <row r="80" spans="1:11" s="5" customFormat="1" ht="38.25" customHeight="1">
      <c r="A80" s="77" t="s">
        <v>7</v>
      </c>
      <c r="B80" s="123">
        <v>4030</v>
      </c>
      <c r="C80" s="45">
        <f>SUM(C123:C223)</f>
        <v>784.70000000000027</v>
      </c>
      <c r="D80" s="45">
        <f>SUM(D123:D222)</f>
        <v>0</v>
      </c>
      <c r="E80" s="45">
        <f>SUM(E81:E223)</f>
        <v>1133.1999999999996</v>
      </c>
      <c r="F80" s="15">
        <f t="shared" si="2"/>
        <v>1133.1999999999996</v>
      </c>
      <c r="G80" s="186" t="e">
        <f t="shared" si="3"/>
        <v>#DIV/0!</v>
      </c>
      <c r="H80" s="29"/>
      <c r="K80" s="29"/>
    </row>
    <row r="81" spans="1:11" s="5" customFormat="1" ht="27.75" customHeight="1">
      <c r="A81" s="25" t="s">
        <v>264</v>
      </c>
      <c r="B81" s="123"/>
      <c r="C81" s="45"/>
      <c r="D81" s="45"/>
      <c r="E81" s="19">
        <v>1.6</v>
      </c>
      <c r="F81" s="15">
        <f t="shared" si="2"/>
        <v>1.6</v>
      </c>
      <c r="G81" s="186" t="e">
        <f t="shared" si="3"/>
        <v>#DIV/0!</v>
      </c>
      <c r="H81" s="29"/>
      <c r="K81" s="29"/>
    </row>
    <row r="82" spans="1:11" s="5" customFormat="1" ht="38.25" customHeight="1">
      <c r="A82" s="25" t="s">
        <v>417</v>
      </c>
      <c r="B82" s="123"/>
      <c r="C82" s="45"/>
      <c r="D82" s="45"/>
      <c r="E82" s="19">
        <v>2.2000000000000002</v>
      </c>
      <c r="F82" s="15">
        <f t="shared" si="2"/>
        <v>2.2000000000000002</v>
      </c>
      <c r="G82" s="186" t="e">
        <f t="shared" si="3"/>
        <v>#DIV/0!</v>
      </c>
      <c r="H82" s="29"/>
      <c r="K82" s="29"/>
    </row>
    <row r="83" spans="1:11" s="5" customFormat="1" ht="38.25" customHeight="1">
      <c r="A83" s="24" t="s">
        <v>418</v>
      </c>
      <c r="B83" s="123"/>
      <c r="C83" s="45"/>
      <c r="D83" s="45"/>
      <c r="E83" s="19">
        <v>2</v>
      </c>
      <c r="F83" s="15">
        <f t="shared" si="2"/>
        <v>2</v>
      </c>
      <c r="G83" s="186" t="e">
        <f t="shared" si="3"/>
        <v>#DIV/0!</v>
      </c>
      <c r="H83" s="29"/>
      <c r="K83" s="29"/>
    </row>
    <row r="84" spans="1:11" s="5" customFormat="1" ht="26.25" customHeight="1">
      <c r="A84" s="25" t="s">
        <v>645</v>
      </c>
      <c r="B84" s="123"/>
      <c r="C84" s="45"/>
      <c r="D84" s="45"/>
      <c r="E84" s="19">
        <v>4.0999999999999996</v>
      </c>
      <c r="F84" s="15">
        <f t="shared" si="2"/>
        <v>4.0999999999999996</v>
      </c>
      <c r="G84" s="186" t="e">
        <f t="shared" si="3"/>
        <v>#DIV/0!</v>
      </c>
      <c r="H84" s="29"/>
      <c r="K84" s="29"/>
    </row>
    <row r="85" spans="1:11" s="5" customFormat="1" ht="28.5" customHeight="1">
      <c r="A85" s="24" t="s">
        <v>608</v>
      </c>
      <c r="B85" s="123"/>
      <c r="C85" s="45"/>
      <c r="D85" s="45"/>
      <c r="E85" s="19">
        <v>5</v>
      </c>
      <c r="F85" s="15">
        <f t="shared" si="2"/>
        <v>5</v>
      </c>
      <c r="G85" s="186" t="e">
        <f t="shared" si="3"/>
        <v>#DIV/0!</v>
      </c>
      <c r="H85" s="29"/>
      <c r="K85" s="29"/>
    </row>
    <row r="86" spans="1:11" s="5" customFormat="1" ht="32.25" customHeight="1">
      <c r="A86" s="24" t="s">
        <v>419</v>
      </c>
      <c r="B86" s="123"/>
      <c r="C86" s="45"/>
      <c r="D86" s="45"/>
      <c r="E86" s="19">
        <v>11.2</v>
      </c>
      <c r="F86" s="15">
        <f t="shared" si="2"/>
        <v>11.2</v>
      </c>
      <c r="G86" s="186" t="e">
        <f t="shared" si="3"/>
        <v>#DIV/0!</v>
      </c>
      <c r="H86" s="29"/>
      <c r="K86" s="29"/>
    </row>
    <row r="87" spans="1:11" s="5" customFormat="1" ht="30.75" customHeight="1">
      <c r="A87" s="24" t="s">
        <v>420</v>
      </c>
      <c r="B87" s="123"/>
      <c r="C87" s="45"/>
      <c r="D87" s="45"/>
      <c r="E87" s="19">
        <v>2.5</v>
      </c>
      <c r="F87" s="15">
        <f t="shared" si="2"/>
        <v>2.5</v>
      </c>
      <c r="G87" s="186" t="e">
        <f t="shared" si="3"/>
        <v>#DIV/0!</v>
      </c>
      <c r="H87" s="29"/>
      <c r="K87" s="29"/>
    </row>
    <row r="88" spans="1:11" s="5" customFormat="1" ht="40.5" customHeight="1">
      <c r="A88" s="24" t="s">
        <v>421</v>
      </c>
      <c r="B88" s="123"/>
      <c r="C88" s="45"/>
      <c r="D88" s="45"/>
      <c r="E88" s="19">
        <v>0.9</v>
      </c>
      <c r="F88" s="15">
        <f t="shared" si="2"/>
        <v>0.9</v>
      </c>
      <c r="G88" s="186" t="e">
        <f t="shared" si="3"/>
        <v>#DIV/0!</v>
      </c>
      <c r="H88" s="29"/>
      <c r="K88" s="29"/>
    </row>
    <row r="89" spans="1:11" s="5" customFormat="1" ht="31.5" customHeight="1">
      <c r="A89" s="24" t="s">
        <v>422</v>
      </c>
      <c r="B89" s="123"/>
      <c r="C89" s="45"/>
      <c r="D89" s="45"/>
      <c r="E89" s="19">
        <v>1.3</v>
      </c>
      <c r="F89" s="15">
        <f t="shared" si="2"/>
        <v>1.3</v>
      </c>
      <c r="G89" s="186" t="e">
        <f t="shared" si="3"/>
        <v>#DIV/0!</v>
      </c>
      <c r="H89" s="29"/>
      <c r="K89" s="29"/>
    </row>
    <row r="90" spans="1:11" s="5" customFormat="1" ht="30.75" customHeight="1">
      <c r="A90" s="24" t="s">
        <v>609</v>
      </c>
      <c r="B90" s="123"/>
      <c r="C90" s="45"/>
      <c r="D90" s="45"/>
      <c r="E90" s="19">
        <v>0.5</v>
      </c>
      <c r="F90" s="15">
        <f t="shared" si="2"/>
        <v>0.5</v>
      </c>
      <c r="G90" s="186" t="e">
        <f t="shared" si="3"/>
        <v>#DIV/0!</v>
      </c>
      <c r="H90" s="29"/>
      <c r="K90" s="29"/>
    </row>
    <row r="91" spans="1:11" s="5" customFormat="1" ht="43.5" customHeight="1">
      <c r="A91" s="24" t="s">
        <v>423</v>
      </c>
      <c r="B91" s="123"/>
      <c r="C91" s="45"/>
      <c r="D91" s="45"/>
      <c r="E91" s="19">
        <v>1.8</v>
      </c>
      <c r="F91" s="15">
        <f t="shared" si="2"/>
        <v>1.8</v>
      </c>
      <c r="G91" s="186" t="e">
        <f t="shared" si="3"/>
        <v>#DIV/0!</v>
      </c>
      <c r="H91" s="29"/>
      <c r="K91" s="29"/>
    </row>
    <row r="92" spans="1:11" s="5" customFormat="1" ht="31.5" customHeight="1">
      <c r="A92" s="182" t="s">
        <v>644</v>
      </c>
      <c r="B92" s="123"/>
      <c r="C92" s="45"/>
      <c r="D92" s="45"/>
      <c r="E92" s="19">
        <v>24</v>
      </c>
      <c r="F92" s="15">
        <f t="shared" si="2"/>
        <v>24</v>
      </c>
      <c r="G92" s="186" t="e">
        <f t="shared" si="3"/>
        <v>#DIV/0!</v>
      </c>
      <c r="H92" s="29"/>
      <c r="K92" s="29"/>
    </row>
    <row r="93" spans="1:11" s="5" customFormat="1" ht="28.5" customHeight="1">
      <c r="A93" s="25" t="s">
        <v>424</v>
      </c>
      <c r="B93" s="123"/>
      <c r="C93" s="45"/>
      <c r="D93" s="45"/>
      <c r="E93" s="19">
        <v>16.600000000000001</v>
      </c>
      <c r="F93" s="15">
        <f t="shared" si="2"/>
        <v>16.600000000000001</v>
      </c>
      <c r="G93" s="186" t="e">
        <f t="shared" si="3"/>
        <v>#DIV/0!</v>
      </c>
      <c r="H93" s="29"/>
      <c r="K93" s="29"/>
    </row>
    <row r="94" spans="1:11" s="5" customFormat="1" ht="34.5" customHeight="1">
      <c r="A94" s="182" t="s">
        <v>646</v>
      </c>
      <c r="B94" s="123"/>
      <c r="C94" s="45"/>
      <c r="D94" s="45"/>
      <c r="E94" s="19">
        <v>20.100000000000001</v>
      </c>
      <c r="F94" s="15">
        <f t="shared" si="2"/>
        <v>20.100000000000001</v>
      </c>
      <c r="G94" s="186" t="e">
        <f t="shared" si="3"/>
        <v>#DIV/0!</v>
      </c>
      <c r="H94" s="29"/>
      <c r="K94" s="29"/>
    </row>
    <row r="95" spans="1:11" s="5" customFormat="1" ht="30.75" customHeight="1">
      <c r="A95" s="25" t="s">
        <v>425</v>
      </c>
      <c r="B95" s="123"/>
      <c r="C95" s="45"/>
      <c r="D95" s="45"/>
      <c r="E95" s="19">
        <v>29.8</v>
      </c>
      <c r="F95" s="15">
        <f t="shared" si="2"/>
        <v>29.8</v>
      </c>
      <c r="G95" s="186" t="e">
        <f t="shared" si="3"/>
        <v>#DIV/0!</v>
      </c>
      <c r="H95" s="29"/>
      <c r="K95" s="29"/>
    </row>
    <row r="96" spans="1:11" s="5" customFormat="1" ht="33.75" customHeight="1">
      <c r="A96" s="24" t="s">
        <v>640</v>
      </c>
      <c r="B96" s="123"/>
      <c r="C96" s="45"/>
      <c r="D96" s="45"/>
      <c r="E96" s="19">
        <v>40.200000000000003</v>
      </c>
      <c r="F96" s="15">
        <f t="shared" si="2"/>
        <v>40.200000000000003</v>
      </c>
      <c r="G96" s="186" t="e">
        <f t="shared" si="3"/>
        <v>#DIV/0!</v>
      </c>
      <c r="H96" s="29"/>
      <c r="K96" s="29"/>
    </row>
    <row r="97" spans="1:11" s="5" customFormat="1" ht="30" customHeight="1">
      <c r="A97" s="24" t="s">
        <v>426</v>
      </c>
      <c r="B97" s="123"/>
      <c r="C97" s="45"/>
      <c r="D97" s="45"/>
      <c r="E97" s="19">
        <v>10</v>
      </c>
      <c r="F97" s="15">
        <f t="shared" si="2"/>
        <v>10</v>
      </c>
      <c r="G97" s="186" t="e">
        <f t="shared" si="3"/>
        <v>#DIV/0!</v>
      </c>
      <c r="H97" s="29"/>
      <c r="K97" s="29"/>
    </row>
    <row r="98" spans="1:11" s="5" customFormat="1" ht="31.5" customHeight="1">
      <c r="A98" s="25" t="s">
        <v>265</v>
      </c>
      <c r="B98" s="123"/>
      <c r="C98" s="45"/>
      <c r="D98" s="45"/>
      <c r="E98" s="19">
        <v>0.2</v>
      </c>
      <c r="F98" s="15">
        <f t="shared" si="2"/>
        <v>0.2</v>
      </c>
      <c r="G98" s="186" t="e">
        <f t="shared" si="3"/>
        <v>#DIV/0!</v>
      </c>
      <c r="H98" s="29"/>
      <c r="K98" s="29"/>
    </row>
    <row r="99" spans="1:11" s="5" customFormat="1" ht="31.5" customHeight="1">
      <c r="A99" s="25" t="s">
        <v>427</v>
      </c>
      <c r="B99" s="123"/>
      <c r="C99" s="45"/>
      <c r="D99" s="45"/>
      <c r="E99" s="19">
        <v>31.9</v>
      </c>
      <c r="F99" s="15">
        <f t="shared" si="2"/>
        <v>31.9</v>
      </c>
      <c r="G99" s="186" t="e">
        <f t="shared" si="3"/>
        <v>#DIV/0!</v>
      </c>
      <c r="H99" s="29"/>
      <c r="K99" s="29"/>
    </row>
    <row r="100" spans="1:11" s="5" customFormat="1" ht="33" customHeight="1">
      <c r="A100" s="25" t="s">
        <v>348</v>
      </c>
      <c r="B100" s="123"/>
      <c r="C100" s="45"/>
      <c r="D100" s="45"/>
      <c r="E100" s="19">
        <v>2.1</v>
      </c>
      <c r="F100" s="15">
        <f t="shared" si="2"/>
        <v>2.1</v>
      </c>
      <c r="G100" s="186" t="e">
        <f t="shared" si="3"/>
        <v>#DIV/0!</v>
      </c>
      <c r="H100" s="29"/>
      <c r="K100" s="29"/>
    </row>
    <row r="101" spans="1:11" s="5" customFormat="1" ht="41.25" customHeight="1">
      <c r="A101" s="24" t="s">
        <v>428</v>
      </c>
      <c r="B101" s="123"/>
      <c r="C101" s="45"/>
      <c r="D101" s="45"/>
      <c r="E101" s="19">
        <v>31.5</v>
      </c>
      <c r="F101" s="15">
        <f t="shared" si="2"/>
        <v>31.5</v>
      </c>
      <c r="G101" s="186" t="e">
        <f t="shared" si="3"/>
        <v>#DIV/0!</v>
      </c>
      <c r="H101" s="29"/>
      <c r="K101" s="29"/>
    </row>
    <row r="102" spans="1:11" s="5" customFormat="1" ht="30.75" customHeight="1">
      <c r="A102" s="25" t="s">
        <v>429</v>
      </c>
      <c r="B102" s="123"/>
      <c r="C102" s="45"/>
      <c r="D102" s="45"/>
      <c r="E102" s="19">
        <v>32.4</v>
      </c>
      <c r="F102" s="15">
        <f t="shared" si="2"/>
        <v>32.4</v>
      </c>
      <c r="G102" s="186" t="e">
        <f t="shared" si="3"/>
        <v>#DIV/0!</v>
      </c>
      <c r="H102" s="29"/>
      <c r="K102" s="29"/>
    </row>
    <row r="103" spans="1:11" s="5" customFormat="1" ht="33" customHeight="1">
      <c r="A103" s="25" t="s">
        <v>430</v>
      </c>
      <c r="B103" s="123"/>
      <c r="C103" s="45"/>
      <c r="D103" s="45"/>
      <c r="E103" s="19">
        <v>41</v>
      </c>
      <c r="F103" s="15">
        <f t="shared" si="2"/>
        <v>41</v>
      </c>
      <c r="G103" s="186" t="e">
        <f t="shared" si="3"/>
        <v>#DIV/0!</v>
      </c>
      <c r="H103" s="29"/>
      <c r="K103" s="29"/>
    </row>
    <row r="104" spans="1:11" s="5" customFormat="1" ht="33" customHeight="1">
      <c r="A104" s="182" t="s">
        <v>647</v>
      </c>
      <c r="B104" s="123"/>
      <c r="C104" s="45"/>
      <c r="D104" s="45"/>
      <c r="E104" s="19">
        <v>8.1999999999999993</v>
      </c>
      <c r="F104" s="15">
        <f t="shared" si="2"/>
        <v>8.1999999999999993</v>
      </c>
      <c r="G104" s="186" t="e">
        <f t="shared" si="3"/>
        <v>#DIV/0!</v>
      </c>
      <c r="H104" s="29"/>
      <c r="K104" s="29"/>
    </row>
    <row r="105" spans="1:11" s="5" customFormat="1" ht="45" customHeight="1">
      <c r="A105" s="24" t="s">
        <v>431</v>
      </c>
      <c r="B105" s="123"/>
      <c r="C105" s="45"/>
      <c r="D105" s="45"/>
      <c r="E105" s="19">
        <v>27.3</v>
      </c>
      <c r="F105" s="15">
        <f t="shared" si="2"/>
        <v>27.3</v>
      </c>
      <c r="G105" s="186" t="e">
        <f t="shared" si="3"/>
        <v>#DIV/0!</v>
      </c>
      <c r="H105" s="29"/>
      <c r="K105" s="29"/>
    </row>
    <row r="106" spans="1:11" s="5" customFormat="1" ht="28.5" customHeight="1">
      <c r="A106" s="181" t="s">
        <v>648</v>
      </c>
      <c r="B106" s="123"/>
      <c r="C106" s="45"/>
      <c r="D106" s="45"/>
      <c r="E106" s="19">
        <v>44.3</v>
      </c>
      <c r="F106" s="15">
        <f t="shared" ref="F106:F119" si="4">E106-D106</f>
        <v>44.3</v>
      </c>
      <c r="G106" s="186" t="e">
        <f t="shared" ref="G106:G132" si="5">(E106/D106)*100</f>
        <v>#DIV/0!</v>
      </c>
      <c r="H106" s="29"/>
      <c r="K106" s="29"/>
    </row>
    <row r="107" spans="1:11" s="5" customFormat="1" ht="27.75" customHeight="1">
      <c r="A107" s="24" t="s">
        <v>432</v>
      </c>
      <c r="B107" s="123"/>
      <c r="C107" s="45"/>
      <c r="D107" s="45"/>
      <c r="E107" s="19">
        <v>7.7</v>
      </c>
      <c r="F107" s="15">
        <f t="shared" si="4"/>
        <v>7.7</v>
      </c>
      <c r="G107" s="186" t="e">
        <f t="shared" si="5"/>
        <v>#DIV/0!</v>
      </c>
      <c r="H107" s="29"/>
      <c r="K107" s="29"/>
    </row>
    <row r="108" spans="1:11" s="5" customFormat="1" ht="31.5" customHeight="1">
      <c r="A108" s="24" t="s">
        <v>639</v>
      </c>
      <c r="B108" s="123"/>
      <c r="C108" s="45"/>
      <c r="D108" s="45"/>
      <c r="E108" s="19">
        <v>5.5</v>
      </c>
      <c r="F108" s="15">
        <f t="shared" si="4"/>
        <v>5.5</v>
      </c>
      <c r="G108" s="186" t="e">
        <f t="shared" si="5"/>
        <v>#DIV/0!</v>
      </c>
      <c r="H108" s="29"/>
      <c r="K108" s="29"/>
    </row>
    <row r="109" spans="1:11" s="5" customFormat="1" ht="27.75" customHeight="1">
      <c r="A109" s="25" t="s">
        <v>433</v>
      </c>
      <c r="B109" s="123"/>
      <c r="C109" s="45"/>
      <c r="D109" s="45"/>
      <c r="E109" s="19">
        <v>24.9</v>
      </c>
      <c r="F109" s="15">
        <f t="shared" si="4"/>
        <v>24.9</v>
      </c>
      <c r="G109" s="186" t="e">
        <f t="shared" si="5"/>
        <v>#DIV/0!</v>
      </c>
      <c r="H109" s="29"/>
      <c r="K109" s="29"/>
    </row>
    <row r="110" spans="1:11" s="5" customFormat="1" ht="30.75" customHeight="1">
      <c r="A110" s="24" t="s">
        <v>434</v>
      </c>
      <c r="B110" s="123"/>
      <c r="C110" s="45"/>
      <c r="D110" s="45"/>
      <c r="E110" s="19">
        <v>48</v>
      </c>
      <c r="F110" s="15">
        <f t="shared" si="4"/>
        <v>48</v>
      </c>
      <c r="G110" s="186" t="e">
        <f t="shared" si="5"/>
        <v>#DIV/0!</v>
      </c>
      <c r="H110" s="29"/>
      <c r="K110" s="29"/>
    </row>
    <row r="111" spans="1:11" s="5" customFormat="1" ht="33" customHeight="1">
      <c r="A111" s="25" t="s">
        <v>435</v>
      </c>
      <c r="B111" s="123"/>
      <c r="C111" s="45"/>
      <c r="D111" s="45"/>
      <c r="E111" s="19">
        <v>13.3</v>
      </c>
      <c r="F111" s="15">
        <f t="shared" si="4"/>
        <v>13.3</v>
      </c>
      <c r="G111" s="186" t="e">
        <f t="shared" si="5"/>
        <v>#DIV/0!</v>
      </c>
      <c r="H111" s="29"/>
      <c r="K111" s="29"/>
    </row>
    <row r="112" spans="1:11" s="5" customFormat="1" ht="41.25" customHeight="1">
      <c r="A112" s="24" t="s">
        <v>406</v>
      </c>
      <c r="B112" s="123"/>
      <c r="C112" s="45"/>
      <c r="D112" s="45"/>
      <c r="E112" s="19">
        <v>31.5</v>
      </c>
      <c r="F112" s="15">
        <f t="shared" si="4"/>
        <v>31.5</v>
      </c>
      <c r="G112" s="186" t="e">
        <f t="shared" si="5"/>
        <v>#DIV/0!</v>
      </c>
      <c r="H112" s="29"/>
      <c r="K112" s="29"/>
    </row>
    <row r="113" spans="1:11" s="5" customFormat="1" ht="43.5" customHeight="1">
      <c r="A113" s="24" t="s">
        <v>407</v>
      </c>
      <c r="B113" s="123"/>
      <c r="C113" s="45"/>
      <c r="D113" s="45"/>
      <c r="E113" s="19">
        <v>1.3</v>
      </c>
      <c r="F113" s="15">
        <f t="shared" si="4"/>
        <v>1.3</v>
      </c>
      <c r="G113" s="186" t="e">
        <f t="shared" si="5"/>
        <v>#DIV/0!</v>
      </c>
      <c r="H113" s="29"/>
      <c r="K113" s="29"/>
    </row>
    <row r="114" spans="1:11" s="5" customFormat="1" ht="26.25" customHeight="1">
      <c r="A114" s="25" t="s">
        <v>408</v>
      </c>
      <c r="B114" s="123"/>
      <c r="C114" s="45"/>
      <c r="D114" s="45"/>
      <c r="E114" s="19">
        <v>1</v>
      </c>
      <c r="F114" s="15">
        <f t="shared" si="4"/>
        <v>1</v>
      </c>
      <c r="G114" s="186" t="e">
        <f t="shared" si="5"/>
        <v>#DIV/0!</v>
      </c>
      <c r="H114" s="29"/>
      <c r="K114" s="29"/>
    </row>
    <row r="115" spans="1:11" s="5" customFormat="1" ht="33" customHeight="1">
      <c r="A115" s="25" t="s">
        <v>409</v>
      </c>
      <c r="B115" s="123"/>
      <c r="C115" s="45"/>
      <c r="D115" s="45"/>
      <c r="E115" s="19">
        <v>1.4</v>
      </c>
      <c r="F115" s="15">
        <f t="shared" si="4"/>
        <v>1.4</v>
      </c>
      <c r="G115" s="186" t="e">
        <f t="shared" si="5"/>
        <v>#DIV/0!</v>
      </c>
      <c r="H115" s="29"/>
      <c r="K115" s="29"/>
    </row>
    <row r="116" spans="1:11" s="5" customFormat="1" ht="30" customHeight="1">
      <c r="A116" s="25" t="s">
        <v>410</v>
      </c>
      <c r="B116" s="123"/>
      <c r="C116" s="45"/>
      <c r="D116" s="45"/>
      <c r="E116" s="19">
        <v>6</v>
      </c>
      <c r="F116" s="15">
        <f t="shared" si="4"/>
        <v>6</v>
      </c>
      <c r="G116" s="186" t="e">
        <f t="shared" si="5"/>
        <v>#DIV/0!</v>
      </c>
      <c r="H116" s="29"/>
      <c r="K116" s="29"/>
    </row>
    <row r="117" spans="1:11" s="5" customFormat="1" ht="31.5" customHeight="1">
      <c r="A117" s="24" t="s">
        <v>610</v>
      </c>
      <c r="B117" s="123"/>
      <c r="C117" s="45"/>
      <c r="D117" s="45"/>
      <c r="E117" s="19">
        <v>4</v>
      </c>
      <c r="F117" s="15">
        <f t="shared" si="4"/>
        <v>4</v>
      </c>
      <c r="G117" s="186" t="e">
        <f t="shared" si="5"/>
        <v>#DIV/0!</v>
      </c>
      <c r="H117" s="29"/>
      <c r="K117" s="29"/>
    </row>
    <row r="118" spans="1:11" s="5" customFormat="1" ht="30" customHeight="1">
      <c r="A118" s="25" t="s">
        <v>415</v>
      </c>
      <c r="B118" s="123"/>
      <c r="C118" s="45"/>
      <c r="D118" s="45"/>
      <c r="E118" s="19">
        <v>12.5</v>
      </c>
      <c r="F118" s="15">
        <f t="shared" si="4"/>
        <v>12.5</v>
      </c>
      <c r="G118" s="186" t="e">
        <f t="shared" si="5"/>
        <v>#DIV/0!</v>
      </c>
      <c r="H118" s="29"/>
      <c r="K118" s="29"/>
    </row>
    <row r="119" spans="1:11" s="5" customFormat="1" ht="30.75" customHeight="1">
      <c r="A119" s="24" t="s">
        <v>611</v>
      </c>
      <c r="B119" s="123"/>
      <c r="C119" s="45"/>
      <c r="D119" s="45"/>
      <c r="E119" s="19">
        <v>7</v>
      </c>
      <c r="F119" s="15">
        <f t="shared" si="4"/>
        <v>7</v>
      </c>
      <c r="G119" s="186" t="e">
        <f t="shared" si="5"/>
        <v>#DIV/0!</v>
      </c>
      <c r="H119" s="29"/>
      <c r="K119" s="29"/>
    </row>
    <row r="120" spans="1:11" s="5" customFormat="1" ht="33" customHeight="1">
      <c r="A120" s="25" t="s">
        <v>436</v>
      </c>
      <c r="B120" s="123"/>
      <c r="C120" s="45"/>
      <c r="D120" s="45"/>
      <c r="E120" s="19">
        <v>8.3000000000000007</v>
      </c>
      <c r="F120" s="15">
        <f t="shared" ref="F120:F125" si="6">E120-D120</f>
        <v>8.3000000000000007</v>
      </c>
      <c r="G120" s="186" t="e">
        <f t="shared" si="5"/>
        <v>#DIV/0!</v>
      </c>
      <c r="H120" s="29"/>
      <c r="K120" s="29"/>
    </row>
    <row r="121" spans="1:11" s="5" customFormat="1" ht="30.75" customHeight="1">
      <c r="A121" s="24" t="s">
        <v>437</v>
      </c>
      <c r="B121" s="123"/>
      <c r="C121" s="45"/>
      <c r="D121" s="45"/>
      <c r="E121" s="19">
        <v>3.2</v>
      </c>
      <c r="F121" s="15">
        <f t="shared" si="6"/>
        <v>3.2</v>
      </c>
      <c r="G121" s="186" t="e">
        <f t="shared" si="5"/>
        <v>#DIV/0!</v>
      </c>
      <c r="H121" s="29"/>
      <c r="K121" s="29"/>
    </row>
    <row r="122" spans="1:11" s="5" customFormat="1" ht="31.5" customHeight="1">
      <c r="A122" s="24" t="s">
        <v>438</v>
      </c>
      <c r="B122" s="123"/>
      <c r="C122" s="45"/>
      <c r="D122" s="45"/>
      <c r="E122" s="19">
        <v>0.6</v>
      </c>
      <c r="F122" s="15">
        <f t="shared" si="6"/>
        <v>0.6</v>
      </c>
      <c r="G122" s="186" t="e">
        <f t="shared" si="5"/>
        <v>#DIV/0!</v>
      </c>
      <c r="H122" s="29"/>
      <c r="K122" s="29"/>
    </row>
    <row r="123" spans="1:11" s="5" customFormat="1" ht="28.5" customHeight="1">
      <c r="A123" s="24" t="s">
        <v>416</v>
      </c>
      <c r="B123" s="124"/>
      <c r="C123" s="19"/>
      <c r="D123" s="19"/>
      <c r="E123" s="19">
        <v>0.5</v>
      </c>
      <c r="F123" s="15">
        <f t="shared" si="6"/>
        <v>0.5</v>
      </c>
      <c r="G123" s="186" t="e">
        <f t="shared" si="5"/>
        <v>#DIV/0!</v>
      </c>
    </row>
    <row r="124" spans="1:11" s="5" customFormat="1" ht="27" customHeight="1">
      <c r="A124" s="24" t="s">
        <v>612</v>
      </c>
      <c r="B124" s="124"/>
      <c r="C124" s="19"/>
      <c r="D124" s="19"/>
      <c r="E124" s="19">
        <v>39.6</v>
      </c>
      <c r="F124" s="15">
        <f t="shared" si="6"/>
        <v>39.6</v>
      </c>
      <c r="G124" s="186" t="e">
        <f t="shared" si="5"/>
        <v>#DIV/0!</v>
      </c>
    </row>
    <row r="125" spans="1:11" s="5" customFormat="1" ht="27.75" customHeight="1">
      <c r="A125" s="24" t="s">
        <v>613</v>
      </c>
      <c r="B125" s="124"/>
      <c r="C125" s="19"/>
      <c r="D125" s="19"/>
      <c r="E125" s="19">
        <v>7.4</v>
      </c>
      <c r="F125" s="15">
        <f t="shared" si="6"/>
        <v>7.4</v>
      </c>
      <c r="G125" s="186" t="e">
        <f t="shared" si="5"/>
        <v>#DIV/0!</v>
      </c>
    </row>
    <row r="126" spans="1:11" s="5" customFormat="1" ht="27" customHeight="1">
      <c r="A126" s="24" t="s">
        <v>614</v>
      </c>
      <c r="B126" s="124"/>
      <c r="C126" s="19"/>
      <c r="D126" s="19"/>
      <c r="E126" s="19">
        <v>6.3</v>
      </c>
      <c r="F126" s="15">
        <v>5</v>
      </c>
      <c r="G126" s="186" t="e">
        <f t="shared" si="5"/>
        <v>#DIV/0!</v>
      </c>
    </row>
    <row r="127" spans="1:11" s="5" customFormat="1" ht="45" customHeight="1">
      <c r="A127" s="24" t="s">
        <v>615</v>
      </c>
      <c r="B127" s="124"/>
      <c r="C127" s="19"/>
      <c r="D127" s="19"/>
      <c r="E127" s="19">
        <v>12</v>
      </c>
      <c r="F127" s="15">
        <f t="shared" ref="F127:F150" si="7">E127-D127</f>
        <v>12</v>
      </c>
      <c r="G127" s="186" t="e">
        <f t="shared" si="5"/>
        <v>#DIV/0!</v>
      </c>
    </row>
    <row r="128" spans="1:11" s="5" customFormat="1" ht="30.75" customHeight="1">
      <c r="A128" s="24" t="s">
        <v>616</v>
      </c>
      <c r="B128" s="124"/>
      <c r="C128" s="19"/>
      <c r="D128" s="19"/>
      <c r="E128" s="19">
        <v>1.8</v>
      </c>
      <c r="F128" s="15">
        <f t="shared" si="7"/>
        <v>1.8</v>
      </c>
      <c r="G128" s="186" t="e">
        <f t="shared" si="5"/>
        <v>#DIV/0!</v>
      </c>
    </row>
    <row r="129" spans="1:7" s="5" customFormat="1" ht="26.25" customHeight="1">
      <c r="A129" s="24" t="s">
        <v>617</v>
      </c>
      <c r="B129" s="124"/>
      <c r="C129" s="19"/>
      <c r="D129" s="19"/>
      <c r="E129" s="19">
        <v>10.3</v>
      </c>
      <c r="F129" s="15">
        <f t="shared" si="7"/>
        <v>10.3</v>
      </c>
      <c r="G129" s="186" t="e">
        <f t="shared" si="5"/>
        <v>#DIV/0!</v>
      </c>
    </row>
    <row r="130" spans="1:7" s="5" customFormat="1" ht="26.25" customHeight="1">
      <c r="A130" s="24" t="s">
        <v>618</v>
      </c>
      <c r="B130" s="124"/>
      <c r="C130" s="19"/>
      <c r="D130" s="19"/>
      <c r="E130" s="19">
        <v>6.2</v>
      </c>
      <c r="F130" s="15">
        <f t="shared" si="7"/>
        <v>6.2</v>
      </c>
      <c r="G130" s="186" t="e">
        <f t="shared" si="5"/>
        <v>#DIV/0!</v>
      </c>
    </row>
    <row r="131" spans="1:7" s="5" customFormat="1" ht="39.75" customHeight="1">
      <c r="A131" s="24" t="s">
        <v>619</v>
      </c>
      <c r="B131" s="124"/>
      <c r="C131" s="19"/>
      <c r="D131" s="19"/>
      <c r="E131" s="19">
        <v>14.7</v>
      </c>
      <c r="F131" s="15">
        <f t="shared" si="7"/>
        <v>14.7</v>
      </c>
      <c r="G131" s="186" t="e">
        <f t="shared" si="5"/>
        <v>#DIV/0!</v>
      </c>
    </row>
    <row r="132" spans="1:7" s="5" customFormat="1" ht="41.25" customHeight="1">
      <c r="A132" s="24" t="s">
        <v>620</v>
      </c>
      <c r="B132" s="124"/>
      <c r="C132" s="19"/>
      <c r="D132" s="19"/>
      <c r="E132" s="19">
        <v>17.600000000000001</v>
      </c>
      <c r="F132" s="15">
        <f t="shared" si="7"/>
        <v>17.600000000000001</v>
      </c>
      <c r="G132" s="186" t="e">
        <f t="shared" si="5"/>
        <v>#DIV/0!</v>
      </c>
    </row>
    <row r="133" spans="1:7" s="5" customFormat="1" ht="26.25" customHeight="1">
      <c r="A133" s="24" t="s">
        <v>621</v>
      </c>
      <c r="B133" s="124"/>
      <c r="C133" s="19"/>
      <c r="D133" s="19"/>
      <c r="E133" s="19">
        <v>26.4</v>
      </c>
      <c r="F133" s="15">
        <f t="shared" si="7"/>
        <v>26.4</v>
      </c>
      <c r="G133" s="186" t="e">
        <f t="shared" ref="G133:G195" si="8">(E133/D133)*100</f>
        <v>#DIV/0!</v>
      </c>
    </row>
    <row r="134" spans="1:7" s="5" customFormat="1" ht="30" customHeight="1">
      <c r="A134" s="24" t="s">
        <v>622</v>
      </c>
      <c r="B134" s="124"/>
      <c r="C134" s="19"/>
      <c r="D134" s="19"/>
      <c r="E134" s="19">
        <v>9.6999999999999993</v>
      </c>
      <c r="F134" s="15">
        <f t="shared" si="7"/>
        <v>9.6999999999999993</v>
      </c>
      <c r="G134" s="186" t="e">
        <f t="shared" si="8"/>
        <v>#DIV/0!</v>
      </c>
    </row>
    <row r="135" spans="1:7" s="5" customFormat="1" ht="27.75" customHeight="1">
      <c r="A135" s="24" t="s">
        <v>623</v>
      </c>
      <c r="B135" s="124"/>
      <c r="C135" s="19"/>
      <c r="D135" s="19"/>
      <c r="E135" s="19">
        <v>6.2</v>
      </c>
      <c r="F135" s="15">
        <f t="shared" si="7"/>
        <v>6.2</v>
      </c>
      <c r="G135" s="186" t="e">
        <f t="shared" si="8"/>
        <v>#DIV/0!</v>
      </c>
    </row>
    <row r="136" spans="1:7" s="5" customFormat="1" ht="44.25" customHeight="1">
      <c r="A136" s="24" t="s">
        <v>624</v>
      </c>
      <c r="B136" s="124"/>
      <c r="C136" s="19"/>
      <c r="D136" s="19"/>
      <c r="E136" s="19">
        <v>45.8</v>
      </c>
      <c r="F136" s="15">
        <f t="shared" si="7"/>
        <v>45.8</v>
      </c>
      <c r="G136" s="186" t="e">
        <f t="shared" si="8"/>
        <v>#DIV/0!</v>
      </c>
    </row>
    <row r="137" spans="1:7" s="5" customFormat="1" ht="47.25" customHeight="1">
      <c r="A137" s="24" t="s">
        <v>625</v>
      </c>
      <c r="B137" s="124"/>
      <c r="C137" s="19"/>
      <c r="D137" s="19"/>
      <c r="E137" s="19">
        <v>31.8</v>
      </c>
      <c r="F137" s="15">
        <f t="shared" si="7"/>
        <v>31.8</v>
      </c>
      <c r="G137" s="186" t="e">
        <f t="shared" si="8"/>
        <v>#DIV/0!</v>
      </c>
    </row>
    <row r="138" spans="1:7" s="5" customFormat="1" ht="42.75" customHeight="1">
      <c r="A138" s="24" t="s">
        <v>626</v>
      </c>
      <c r="B138" s="124"/>
      <c r="C138" s="19"/>
      <c r="D138" s="19"/>
      <c r="E138" s="19">
        <v>14.8</v>
      </c>
      <c r="F138" s="15">
        <f t="shared" si="7"/>
        <v>14.8</v>
      </c>
      <c r="G138" s="186" t="e">
        <f t="shared" si="8"/>
        <v>#DIV/0!</v>
      </c>
    </row>
    <row r="139" spans="1:7" s="5" customFormat="1" ht="82.5" customHeight="1">
      <c r="A139" s="24" t="s">
        <v>627</v>
      </c>
      <c r="B139" s="124"/>
      <c r="C139" s="19"/>
      <c r="D139" s="19"/>
      <c r="E139" s="19">
        <v>18.3</v>
      </c>
      <c r="F139" s="15">
        <f t="shared" si="7"/>
        <v>18.3</v>
      </c>
      <c r="G139" s="186" t="e">
        <f t="shared" si="8"/>
        <v>#DIV/0!</v>
      </c>
    </row>
    <row r="140" spans="1:7" s="5" customFormat="1" ht="23.25" customHeight="1">
      <c r="A140" s="24" t="s">
        <v>628</v>
      </c>
      <c r="B140" s="124"/>
      <c r="C140" s="19"/>
      <c r="D140" s="19"/>
      <c r="E140" s="19">
        <v>23.4</v>
      </c>
      <c r="F140" s="15">
        <f t="shared" si="7"/>
        <v>23.4</v>
      </c>
      <c r="G140" s="186" t="e">
        <f t="shared" si="8"/>
        <v>#DIV/0!</v>
      </c>
    </row>
    <row r="141" spans="1:7" s="5" customFormat="1" ht="24.75" customHeight="1">
      <c r="A141" s="24" t="s">
        <v>629</v>
      </c>
      <c r="B141" s="124"/>
      <c r="C141" s="19"/>
      <c r="D141" s="19"/>
      <c r="E141" s="19">
        <v>17</v>
      </c>
      <c r="F141" s="15">
        <f t="shared" si="7"/>
        <v>17</v>
      </c>
      <c r="G141" s="186" t="e">
        <f t="shared" si="8"/>
        <v>#DIV/0!</v>
      </c>
    </row>
    <row r="142" spans="1:7" s="5" customFormat="1" ht="39.75" customHeight="1">
      <c r="A142" s="24" t="s">
        <v>630</v>
      </c>
      <c r="B142" s="124"/>
      <c r="C142" s="19"/>
      <c r="D142" s="19"/>
      <c r="E142" s="19">
        <v>36</v>
      </c>
      <c r="F142" s="15">
        <f t="shared" si="7"/>
        <v>36</v>
      </c>
      <c r="G142" s="186" t="e">
        <f t="shared" si="8"/>
        <v>#DIV/0!</v>
      </c>
    </row>
    <row r="143" spans="1:7" s="5" customFormat="1" ht="26.25" customHeight="1">
      <c r="A143" s="24" t="s">
        <v>631</v>
      </c>
      <c r="B143" s="124"/>
      <c r="C143" s="19"/>
      <c r="D143" s="19"/>
      <c r="E143" s="19">
        <v>16</v>
      </c>
      <c r="F143" s="15">
        <f t="shared" si="7"/>
        <v>16</v>
      </c>
      <c r="G143" s="186" t="e">
        <f t="shared" si="8"/>
        <v>#DIV/0!</v>
      </c>
    </row>
    <row r="144" spans="1:7" s="5" customFormat="1" ht="30.75" customHeight="1">
      <c r="A144" s="24" t="s">
        <v>632</v>
      </c>
      <c r="B144" s="124"/>
      <c r="C144" s="19"/>
      <c r="D144" s="19"/>
      <c r="E144" s="19">
        <v>3</v>
      </c>
      <c r="F144" s="15">
        <f t="shared" si="7"/>
        <v>3</v>
      </c>
      <c r="G144" s="186" t="e">
        <f t="shared" si="8"/>
        <v>#DIV/0!</v>
      </c>
    </row>
    <row r="145" spans="1:7" s="5" customFormat="1" ht="27" customHeight="1">
      <c r="A145" s="24" t="s">
        <v>633</v>
      </c>
      <c r="B145" s="124"/>
      <c r="C145" s="19"/>
      <c r="D145" s="19"/>
      <c r="E145" s="19">
        <v>1.6</v>
      </c>
      <c r="F145" s="15">
        <f t="shared" si="7"/>
        <v>1.6</v>
      </c>
      <c r="G145" s="186" t="e">
        <f t="shared" si="8"/>
        <v>#DIV/0!</v>
      </c>
    </row>
    <row r="146" spans="1:7" s="5" customFormat="1" ht="25.5" customHeight="1">
      <c r="A146" s="24" t="s">
        <v>634</v>
      </c>
      <c r="B146" s="124"/>
      <c r="C146" s="19"/>
      <c r="D146" s="19"/>
      <c r="E146" s="19">
        <v>1.5</v>
      </c>
      <c r="F146" s="15">
        <f t="shared" si="7"/>
        <v>1.5</v>
      </c>
      <c r="G146" s="186" t="e">
        <f t="shared" si="8"/>
        <v>#DIV/0!</v>
      </c>
    </row>
    <row r="147" spans="1:7" s="5" customFormat="1" ht="24" customHeight="1">
      <c r="A147" s="24" t="s">
        <v>635</v>
      </c>
      <c r="B147" s="124"/>
      <c r="C147" s="19"/>
      <c r="D147" s="19"/>
      <c r="E147" s="19">
        <v>2.8</v>
      </c>
      <c r="F147" s="15">
        <f t="shared" si="7"/>
        <v>2.8</v>
      </c>
      <c r="G147" s="186" t="e">
        <f t="shared" si="8"/>
        <v>#DIV/0!</v>
      </c>
    </row>
    <row r="148" spans="1:7" s="5" customFormat="1" ht="31.5" customHeight="1">
      <c r="A148" s="24" t="s">
        <v>636</v>
      </c>
      <c r="B148" s="124"/>
      <c r="C148" s="19"/>
      <c r="D148" s="19"/>
      <c r="E148" s="19">
        <v>8.4</v>
      </c>
      <c r="F148" s="15">
        <f t="shared" si="7"/>
        <v>8.4</v>
      </c>
      <c r="G148" s="186" t="e">
        <f t="shared" si="8"/>
        <v>#DIV/0!</v>
      </c>
    </row>
    <row r="149" spans="1:7" s="5" customFormat="1" ht="24.75" customHeight="1">
      <c r="A149" s="24" t="s">
        <v>637</v>
      </c>
      <c r="B149" s="124"/>
      <c r="C149" s="19"/>
      <c r="D149" s="19"/>
      <c r="E149" s="19">
        <v>1.6</v>
      </c>
      <c r="F149" s="15">
        <f t="shared" si="7"/>
        <v>1.6</v>
      </c>
      <c r="G149" s="186" t="e">
        <f t="shared" si="8"/>
        <v>#DIV/0!</v>
      </c>
    </row>
    <row r="150" spans="1:7" s="5" customFormat="1" ht="62.25" customHeight="1">
      <c r="A150" s="24" t="s">
        <v>638</v>
      </c>
      <c r="B150" s="124"/>
      <c r="C150" s="19"/>
      <c r="D150" s="19"/>
      <c r="E150" s="19">
        <v>160.80000000000001</v>
      </c>
      <c r="F150" s="15">
        <f t="shared" si="7"/>
        <v>160.80000000000001</v>
      </c>
      <c r="G150" s="186" t="e">
        <f t="shared" si="8"/>
        <v>#DIV/0!</v>
      </c>
    </row>
    <row r="151" spans="1:7" s="5" customFormat="1" ht="32.25" customHeight="1">
      <c r="A151" s="181" t="s">
        <v>649</v>
      </c>
      <c r="B151" s="124"/>
      <c r="C151" s="19"/>
      <c r="D151" s="19"/>
      <c r="E151" s="19">
        <v>22.8</v>
      </c>
      <c r="F151" s="15">
        <f t="shared" ref="F151:F220" si="9">E151-D151</f>
        <v>22.8</v>
      </c>
      <c r="G151" s="186" t="e">
        <f t="shared" si="8"/>
        <v>#DIV/0!</v>
      </c>
    </row>
    <row r="152" spans="1:7" s="5" customFormat="1" ht="30" customHeight="1">
      <c r="A152" s="25" t="s">
        <v>549</v>
      </c>
      <c r="B152" s="124"/>
      <c r="C152" s="19">
        <v>22</v>
      </c>
      <c r="D152" s="19"/>
      <c r="E152" s="19"/>
      <c r="F152" s="15">
        <f t="shared" si="9"/>
        <v>0</v>
      </c>
      <c r="G152" s="186" t="e">
        <f t="shared" si="8"/>
        <v>#DIV/0!</v>
      </c>
    </row>
    <row r="153" spans="1:7" s="5" customFormat="1" ht="24.75" customHeight="1">
      <c r="A153" s="25" t="s">
        <v>340</v>
      </c>
      <c r="B153" s="124"/>
      <c r="C153" s="19">
        <v>14.6</v>
      </c>
      <c r="D153" s="19"/>
      <c r="E153" s="19"/>
      <c r="F153" s="15">
        <f t="shared" si="9"/>
        <v>0</v>
      </c>
      <c r="G153" s="186" t="e">
        <f t="shared" si="8"/>
        <v>#DIV/0!</v>
      </c>
    </row>
    <row r="154" spans="1:7" s="5" customFormat="1" ht="30" customHeight="1">
      <c r="A154" s="25" t="s">
        <v>341</v>
      </c>
      <c r="B154" s="124"/>
      <c r="C154" s="19">
        <v>34</v>
      </c>
      <c r="D154" s="19"/>
      <c r="E154" s="19"/>
      <c r="F154" s="15">
        <f t="shared" si="9"/>
        <v>0</v>
      </c>
      <c r="G154" s="186" t="e">
        <f t="shared" si="8"/>
        <v>#DIV/0!</v>
      </c>
    </row>
    <row r="155" spans="1:7" s="5" customFormat="1" ht="35.25" customHeight="1">
      <c r="A155" s="24" t="s">
        <v>342</v>
      </c>
      <c r="B155" s="124"/>
      <c r="C155" s="19">
        <v>2.8</v>
      </c>
      <c r="D155" s="19"/>
      <c r="E155" s="19"/>
      <c r="F155" s="15">
        <f t="shared" si="9"/>
        <v>0</v>
      </c>
      <c r="G155" s="186" t="e">
        <f t="shared" si="8"/>
        <v>#DIV/0!</v>
      </c>
    </row>
    <row r="156" spans="1:7" s="5" customFormat="1" ht="37.5" customHeight="1">
      <c r="A156" s="24" t="s">
        <v>343</v>
      </c>
      <c r="B156" s="124"/>
      <c r="C156" s="19">
        <v>2.7</v>
      </c>
      <c r="D156" s="19"/>
      <c r="E156" s="19"/>
      <c r="F156" s="15">
        <f t="shared" si="9"/>
        <v>0</v>
      </c>
      <c r="G156" s="186" t="e">
        <f t="shared" si="8"/>
        <v>#DIV/0!</v>
      </c>
    </row>
    <row r="157" spans="1:7" s="5" customFormat="1" ht="38.25" customHeight="1">
      <c r="A157" s="24" t="s">
        <v>550</v>
      </c>
      <c r="B157" s="124"/>
      <c r="C157" s="19">
        <v>14.2</v>
      </c>
      <c r="D157" s="19"/>
      <c r="E157" s="19"/>
      <c r="F157" s="15">
        <f t="shared" si="9"/>
        <v>0</v>
      </c>
      <c r="G157" s="186" t="e">
        <f t="shared" si="8"/>
        <v>#DIV/0!</v>
      </c>
    </row>
    <row r="158" spans="1:7" s="5" customFormat="1" ht="33" customHeight="1">
      <c r="A158" s="24" t="s">
        <v>551</v>
      </c>
      <c r="B158" s="124"/>
      <c r="C158" s="19">
        <v>19.600000000000001</v>
      </c>
      <c r="D158" s="19"/>
      <c r="E158" s="19"/>
      <c r="F158" s="15">
        <f t="shared" si="9"/>
        <v>0</v>
      </c>
      <c r="G158" s="186" t="e">
        <f t="shared" si="8"/>
        <v>#DIV/0!</v>
      </c>
    </row>
    <row r="159" spans="1:7" s="5" customFormat="1" ht="25.5" customHeight="1">
      <c r="A159" s="24" t="s">
        <v>552</v>
      </c>
      <c r="B159" s="124"/>
      <c r="C159" s="19">
        <v>19.899999999999999</v>
      </c>
      <c r="D159" s="19"/>
      <c r="E159" s="19"/>
      <c r="F159" s="15">
        <f t="shared" si="9"/>
        <v>0</v>
      </c>
      <c r="G159" s="186" t="e">
        <f t="shared" si="8"/>
        <v>#DIV/0!</v>
      </c>
    </row>
    <row r="160" spans="1:7" s="5" customFormat="1" ht="30" customHeight="1">
      <c r="A160" s="24" t="s">
        <v>553</v>
      </c>
      <c r="B160" s="124"/>
      <c r="C160" s="19">
        <v>0.3</v>
      </c>
      <c r="D160" s="19"/>
      <c r="E160" s="19"/>
      <c r="F160" s="15">
        <f t="shared" si="9"/>
        <v>0</v>
      </c>
      <c r="G160" s="186" t="e">
        <f t="shared" si="8"/>
        <v>#DIV/0!</v>
      </c>
    </row>
    <row r="161" spans="1:7" s="5" customFormat="1" ht="27.75" customHeight="1">
      <c r="A161" s="24" t="s">
        <v>367</v>
      </c>
      <c r="B161" s="124"/>
      <c r="C161" s="19">
        <v>0.1</v>
      </c>
      <c r="D161" s="19"/>
      <c r="E161" s="19"/>
      <c r="F161" s="15">
        <f t="shared" si="9"/>
        <v>0</v>
      </c>
      <c r="G161" s="186" t="e">
        <f t="shared" si="8"/>
        <v>#DIV/0!</v>
      </c>
    </row>
    <row r="162" spans="1:7" s="5" customFormat="1" ht="38.25" customHeight="1">
      <c r="A162" s="24" t="s">
        <v>368</v>
      </c>
      <c r="B162" s="124"/>
      <c r="C162" s="19">
        <v>2</v>
      </c>
      <c r="D162" s="19"/>
      <c r="E162" s="19"/>
      <c r="F162" s="15">
        <f t="shared" si="9"/>
        <v>0</v>
      </c>
      <c r="G162" s="186" t="e">
        <f t="shared" si="8"/>
        <v>#DIV/0!</v>
      </c>
    </row>
    <row r="163" spans="1:7" s="5" customFormat="1" ht="43.5" customHeight="1">
      <c r="A163" s="24" t="s">
        <v>369</v>
      </c>
      <c r="B163" s="124"/>
      <c r="C163" s="19">
        <v>2</v>
      </c>
      <c r="D163" s="19"/>
      <c r="E163" s="19"/>
      <c r="F163" s="15">
        <f t="shared" si="9"/>
        <v>0</v>
      </c>
      <c r="G163" s="186" t="e">
        <f t="shared" si="8"/>
        <v>#DIV/0!</v>
      </c>
    </row>
    <row r="164" spans="1:7" s="5" customFormat="1" ht="28.5" customHeight="1">
      <c r="A164" s="24" t="s">
        <v>370</v>
      </c>
      <c r="B164" s="124"/>
      <c r="C164" s="19">
        <v>0.5</v>
      </c>
      <c r="D164" s="19"/>
      <c r="E164" s="19"/>
      <c r="F164" s="15">
        <f t="shared" si="9"/>
        <v>0</v>
      </c>
      <c r="G164" s="186" t="e">
        <f t="shared" si="8"/>
        <v>#DIV/0!</v>
      </c>
    </row>
    <row r="165" spans="1:7" s="5" customFormat="1" ht="25.5" customHeight="1">
      <c r="A165" s="24" t="s">
        <v>554</v>
      </c>
      <c r="B165" s="124"/>
      <c r="C165" s="19">
        <v>0.8</v>
      </c>
      <c r="D165" s="19"/>
      <c r="E165" s="19"/>
      <c r="F165" s="15">
        <f t="shared" si="9"/>
        <v>0</v>
      </c>
      <c r="G165" s="186" t="e">
        <f t="shared" si="8"/>
        <v>#DIV/0!</v>
      </c>
    </row>
    <row r="166" spans="1:7" s="5" customFormat="1" ht="22.5" customHeight="1">
      <c r="A166" s="24" t="s">
        <v>371</v>
      </c>
      <c r="B166" s="124"/>
      <c r="C166" s="19">
        <v>1.9</v>
      </c>
      <c r="D166" s="19"/>
      <c r="E166" s="19"/>
      <c r="F166" s="15">
        <f t="shared" si="9"/>
        <v>0</v>
      </c>
      <c r="G166" s="186" t="e">
        <f t="shared" si="8"/>
        <v>#DIV/0!</v>
      </c>
    </row>
    <row r="167" spans="1:7" s="5" customFormat="1" ht="23.25" customHeight="1">
      <c r="A167" s="24" t="s">
        <v>372</v>
      </c>
      <c r="B167" s="124"/>
      <c r="C167" s="19">
        <v>4.5</v>
      </c>
      <c r="D167" s="19"/>
      <c r="E167" s="19"/>
      <c r="F167" s="15">
        <f t="shared" si="9"/>
        <v>0</v>
      </c>
      <c r="G167" s="186" t="e">
        <f t="shared" si="8"/>
        <v>#DIV/0!</v>
      </c>
    </row>
    <row r="168" spans="1:7" s="5" customFormat="1" ht="22.5" customHeight="1">
      <c r="A168" s="24" t="s">
        <v>373</v>
      </c>
      <c r="B168" s="124"/>
      <c r="C168" s="19">
        <v>2.5</v>
      </c>
      <c r="D168" s="19"/>
      <c r="E168" s="19"/>
      <c r="F168" s="15">
        <f t="shared" si="9"/>
        <v>0</v>
      </c>
      <c r="G168" s="186" t="e">
        <f t="shared" si="8"/>
        <v>#DIV/0!</v>
      </c>
    </row>
    <row r="169" spans="1:7" s="5" customFormat="1" ht="20.25" customHeight="1">
      <c r="A169" s="24" t="s">
        <v>374</v>
      </c>
      <c r="B169" s="124"/>
      <c r="C169" s="19">
        <v>2.1</v>
      </c>
      <c r="D169" s="19"/>
      <c r="E169" s="19"/>
      <c r="F169" s="15">
        <f t="shared" si="9"/>
        <v>0</v>
      </c>
      <c r="G169" s="186" t="e">
        <f t="shared" si="8"/>
        <v>#DIV/0!</v>
      </c>
    </row>
    <row r="170" spans="1:7" s="5" customFormat="1" ht="23.25" customHeight="1">
      <c r="A170" s="24" t="s">
        <v>375</v>
      </c>
      <c r="B170" s="124"/>
      <c r="C170" s="19">
        <v>12</v>
      </c>
      <c r="D170" s="19"/>
      <c r="E170" s="19"/>
      <c r="F170" s="15">
        <f t="shared" si="9"/>
        <v>0</v>
      </c>
      <c r="G170" s="186" t="e">
        <f t="shared" si="8"/>
        <v>#DIV/0!</v>
      </c>
    </row>
    <row r="171" spans="1:7" s="5" customFormat="1" ht="22.5" customHeight="1">
      <c r="A171" s="24" t="s">
        <v>555</v>
      </c>
      <c r="B171" s="124"/>
      <c r="C171" s="19">
        <v>11.8</v>
      </c>
      <c r="D171" s="19"/>
      <c r="E171" s="19"/>
      <c r="F171" s="15">
        <f t="shared" si="9"/>
        <v>0</v>
      </c>
      <c r="G171" s="186" t="e">
        <f t="shared" si="8"/>
        <v>#DIV/0!</v>
      </c>
    </row>
    <row r="172" spans="1:7" s="5" customFormat="1" ht="22.5" customHeight="1">
      <c r="A172" s="24" t="s">
        <v>376</v>
      </c>
      <c r="B172" s="124"/>
      <c r="C172" s="19">
        <v>12.4</v>
      </c>
      <c r="D172" s="19"/>
      <c r="E172" s="19"/>
      <c r="F172" s="15">
        <f t="shared" si="9"/>
        <v>0</v>
      </c>
      <c r="G172" s="186" t="e">
        <f t="shared" si="8"/>
        <v>#DIV/0!</v>
      </c>
    </row>
    <row r="173" spans="1:7" s="5" customFormat="1" ht="44.25" customHeight="1">
      <c r="A173" s="24" t="s">
        <v>377</v>
      </c>
      <c r="B173" s="124"/>
      <c r="C173" s="19">
        <v>14.3</v>
      </c>
      <c r="D173" s="19"/>
      <c r="E173" s="19"/>
      <c r="F173" s="15">
        <f t="shared" si="9"/>
        <v>0</v>
      </c>
      <c r="G173" s="186" t="e">
        <f t="shared" si="8"/>
        <v>#DIV/0!</v>
      </c>
    </row>
    <row r="174" spans="1:7" s="5" customFormat="1" ht="37.5" customHeight="1">
      <c r="A174" s="24" t="s">
        <v>378</v>
      </c>
      <c r="B174" s="124"/>
      <c r="C174" s="19">
        <v>19.7</v>
      </c>
      <c r="D174" s="19"/>
      <c r="E174" s="19"/>
      <c r="F174" s="15">
        <f t="shared" si="9"/>
        <v>0</v>
      </c>
      <c r="G174" s="186" t="e">
        <f t="shared" si="8"/>
        <v>#DIV/0!</v>
      </c>
    </row>
    <row r="175" spans="1:7" s="5" customFormat="1" ht="24.75" customHeight="1">
      <c r="A175" s="24" t="s">
        <v>379</v>
      </c>
      <c r="B175" s="124"/>
      <c r="C175" s="19">
        <v>2.7</v>
      </c>
      <c r="D175" s="19"/>
      <c r="E175" s="19"/>
      <c r="F175" s="15">
        <f t="shared" si="9"/>
        <v>0</v>
      </c>
      <c r="G175" s="186" t="e">
        <f t="shared" si="8"/>
        <v>#DIV/0!</v>
      </c>
    </row>
    <row r="176" spans="1:7" s="5" customFormat="1" ht="23.25" customHeight="1">
      <c r="A176" s="24" t="s">
        <v>380</v>
      </c>
      <c r="B176" s="124"/>
      <c r="C176" s="19">
        <v>2.1</v>
      </c>
      <c r="D176" s="19"/>
      <c r="E176" s="19"/>
      <c r="F176" s="15">
        <f t="shared" si="9"/>
        <v>0</v>
      </c>
      <c r="G176" s="186" t="e">
        <f t="shared" si="8"/>
        <v>#DIV/0!</v>
      </c>
    </row>
    <row r="177" spans="1:7" s="5" customFormat="1" ht="22.5" customHeight="1">
      <c r="A177" s="24" t="s">
        <v>556</v>
      </c>
      <c r="B177" s="124"/>
      <c r="C177" s="19">
        <v>6.4</v>
      </c>
      <c r="D177" s="19"/>
      <c r="E177" s="19"/>
      <c r="F177" s="15">
        <f t="shared" si="9"/>
        <v>0</v>
      </c>
      <c r="G177" s="186" t="e">
        <f t="shared" si="8"/>
        <v>#DIV/0!</v>
      </c>
    </row>
    <row r="178" spans="1:7" s="5" customFormat="1" ht="24" customHeight="1">
      <c r="A178" s="24" t="s">
        <v>381</v>
      </c>
      <c r="B178" s="124"/>
      <c r="C178" s="19">
        <v>1.5</v>
      </c>
      <c r="D178" s="19"/>
      <c r="E178" s="19"/>
      <c r="F178" s="15">
        <f t="shared" si="9"/>
        <v>0</v>
      </c>
      <c r="G178" s="186" t="e">
        <f t="shared" si="8"/>
        <v>#DIV/0!</v>
      </c>
    </row>
    <row r="179" spans="1:7" s="5" customFormat="1" ht="24" customHeight="1">
      <c r="A179" s="24" t="s">
        <v>557</v>
      </c>
      <c r="B179" s="124"/>
      <c r="C179" s="19">
        <v>8</v>
      </c>
      <c r="D179" s="19"/>
      <c r="E179" s="19"/>
      <c r="F179" s="15"/>
      <c r="G179" s="186" t="e">
        <f t="shared" si="8"/>
        <v>#DIV/0!</v>
      </c>
    </row>
    <row r="180" spans="1:7" s="5" customFormat="1" ht="24" customHeight="1">
      <c r="A180" s="24" t="s">
        <v>382</v>
      </c>
      <c r="B180" s="124"/>
      <c r="C180" s="19">
        <v>13</v>
      </c>
      <c r="D180" s="19"/>
      <c r="E180" s="19"/>
      <c r="F180" s="15"/>
      <c r="G180" s="186" t="e">
        <f t="shared" si="8"/>
        <v>#DIV/0!</v>
      </c>
    </row>
    <row r="181" spans="1:7" s="5" customFormat="1" ht="24" customHeight="1">
      <c r="A181" s="24" t="s">
        <v>558</v>
      </c>
      <c r="B181" s="124"/>
      <c r="C181" s="19">
        <v>4.5999999999999996</v>
      </c>
      <c r="D181" s="19"/>
      <c r="E181" s="19"/>
      <c r="F181" s="15"/>
      <c r="G181" s="186" t="e">
        <f t="shared" si="8"/>
        <v>#DIV/0!</v>
      </c>
    </row>
    <row r="182" spans="1:7" s="5" customFormat="1" ht="24" customHeight="1">
      <c r="A182" s="24" t="s">
        <v>559</v>
      </c>
      <c r="B182" s="124"/>
      <c r="C182" s="19">
        <v>98.7</v>
      </c>
      <c r="D182" s="19"/>
      <c r="E182" s="19"/>
      <c r="F182" s="15"/>
      <c r="G182" s="186" t="e">
        <f t="shared" si="8"/>
        <v>#DIV/0!</v>
      </c>
    </row>
    <row r="183" spans="1:7" s="5" customFormat="1" ht="24" customHeight="1">
      <c r="A183" s="24" t="s">
        <v>560</v>
      </c>
      <c r="B183" s="124"/>
      <c r="C183" s="19">
        <v>5</v>
      </c>
      <c r="D183" s="19"/>
      <c r="E183" s="19"/>
      <c r="F183" s="15"/>
      <c r="G183" s="186" t="e">
        <f t="shared" si="8"/>
        <v>#DIV/0!</v>
      </c>
    </row>
    <row r="184" spans="1:7" s="5" customFormat="1" ht="24" customHeight="1">
      <c r="A184" s="24" t="s">
        <v>561</v>
      </c>
      <c r="B184" s="124"/>
      <c r="C184" s="19">
        <v>5</v>
      </c>
      <c r="D184" s="19"/>
      <c r="E184" s="19"/>
      <c r="F184" s="15"/>
      <c r="G184" s="186" t="e">
        <f t="shared" si="8"/>
        <v>#DIV/0!</v>
      </c>
    </row>
    <row r="185" spans="1:7" s="5" customFormat="1" ht="24" customHeight="1">
      <c r="A185" s="24" t="s">
        <v>383</v>
      </c>
      <c r="B185" s="124"/>
      <c r="C185" s="19">
        <v>0.3</v>
      </c>
      <c r="D185" s="19"/>
      <c r="E185" s="19"/>
      <c r="F185" s="15"/>
      <c r="G185" s="186" t="e">
        <f t="shared" si="8"/>
        <v>#DIV/0!</v>
      </c>
    </row>
    <row r="186" spans="1:7" s="5" customFormat="1" ht="24" customHeight="1">
      <c r="A186" s="24" t="s">
        <v>384</v>
      </c>
      <c r="B186" s="124"/>
      <c r="C186" s="19">
        <v>2.8</v>
      </c>
      <c r="D186" s="19"/>
      <c r="E186" s="19"/>
      <c r="F186" s="15"/>
      <c r="G186" s="186" t="e">
        <f t="shared" si="8"/>
        <v>#DIV/0!</v>
      </c>
    </row>
    <row r="187" spans="1:7" s="5" customFormat="1" ht="24" customHeight="1">
      <c r="A187" s="24" t="s">
        <v>385</v>
      </c>
      <c r="B187" s="124"/>
      <c r="C187" s="19">
        <v>3</v>
      </c>
      <c r="D187" s="19"/>
      <c r="E187" s="19"/>
      <c r="F187" s="15"/>
      <c r="G187" s="186" t="e">
        <f t="shared" si="8"/>
        <v>#DIV/0!</v>
      </c>
    </row>
    <row r="188" spans="1:7" s="5" customFormat="1" ht="24" customHeight="1">
      <c r="A188" s="24" t="s">
        <v>386</v>
      </c>
      <c r="B188" s="124"/>
      <c r="C188" s="19">
        <v>0.5</v>
      </c>
      <c r="D188" s="19"/>
      <c r="E188" s="19"/>
      <c r="F188" s="15"/>
      <c r="G188" s="186" t="e">
        <f t="shared" si="8"/>
        <v>#DIV/0!</v>
      </c>
    </row>
    <row r="189" spans="1:7" s="5" customFormat="1" ht="24" customHeight="1">
      <c r="A189" s="24" t="s">
        <v>562</v>
      </c>
      <c r="B189" s="124"/>
      <c r="C189" s="19">
        <v>45</v>
      </c>
      <c r="D189" s="19"/>
      <c r="E189" s="19"/>
      <c r="F189" s="15"/>
      <c r="G189" s="186" t="e">
        <f t="shared" si="8"/>
        <v>#DIV/0!</v>
      </c>
    </row>
    <row r="190" spans="1:7" s="5" customFormat="1" ht="24" customHeight="1">
      <c r="A190" s="24" t="s">
        <v>563</v>
      </c>
      <c r="B190" s="124"/>
      <c r="C190" s="19">
        <v>108</v>
      </c>
      <c r="D190" s="19"/>
      <c r="E190" s="19"/>
      <c r="F190" s="15"/>
      <c r="G190" s="186" t="e">
        <f t="shared" si="8"/>
        <v>#DIV/0!</v>
      </c>
    </row>
    <row r="191" spans="1:7" s="5" customFormat="1" ht="44.25" customHeight="1">
      <c r="A191" s="24" t="s">
        <v>564</v>
      </c>
      <c r="B191" s="124"/>
      <c r="C191" s="19">
        <v>39</v>
      </c>
      <c r="D191" s="19"/>
      <c r="E191" s="19"/>
      <c r="F191" s="15"/>
      <c r="G191" s="186" t="e">
        <f t="shared" si="8"/>
        <v>#DIV/0!</v>
      </c>
    </row>
    <row r="192" spans="1:7" s="5" customFormat="1" ht="24" customHeight="1">
      <c r="A192" s="24" t="s">
        <v>565</v>
      </c>
      <c r="B192" s="124"/>
      <c r="C192" s="19">
        <v>3</v>
      </c>
      <c r="D192" s="19"/>
      <c r="E192" s="19"/>
      <c r="F192" s="15"/>
      <c r="G192" s="186" t="e">
        <f t="shared" si="8"/>
        <v>#DIV/0!</v>
      </c>
    </row>
    <row r="193" spans="1:7" s="5" customFormat="1" ht="24" customHeight="1">
      <c r="A193" s="24" t="s">
        <v>387</v>
      </c>
      <c r="B193" s="124"/>
      <c r="C193" s="19">
        <v>4</v>
      </c>
      <c r="D193" s="19"/>
      <c r="E193" s="19"/>
      <c r="F193" s="15"/>
      <c r="G193" s="186" t="e">
        <f t="shared" si="8"/>
        <v>#DIV/0!</v>
      </c>
    </row>
    <row r="194" spans="1:7" s="5" customFormat="1" ht="24" customHeight="1">
      <c r="A194" s="24" t="s">
        <v>388</v>
      </c>
      <c r="B194" s="124"/>
      <c r="C194" s="19">
        <v>0.8</v>
      </c>
      <c r="D194" s="19"/>
      <c r="E194" s="19"/>
      <c r="F194" s="15"/>
      <c r="G194" s="186" t="e">
        <f t="shared" si="8"/>
        <v>#DIV/0!</v>
      </c>
    </row>
    <row r="195" spans="1:7" s="5" customFormat="1" ht="24" customHeight="1">
      <c r="A195" s="24" t="s">
        <v>376</v>
      </c>
      <c r="B195" s="124"/>
      <c r="C195" s="19">
        <v>11.8</v>
      </c>
      <c r="D195" s="19"/>
      <c r="E195" s="19"/>
      <c r="F195" s="15"/>
      <c r="G195" s="186" t="e">
        <f t="shared" si="8"/>
        <v>#DIV/0!</v>
      </c>
    </row>
    <row r="196" spans="1:7" s="5" customFormat="1" ht="24" customHeight="1">
      <c r="A196" s="24" t="s">
        <v>566</v>
      </c>
      <c r="B196" s="124"/>
      <c r="C196" s="19">
        <v>7.4</v>
      </c>
      <c r="D196" s="19"/>
      <c r="E196" s="19"/>
      <c r="F196" s="15"/>
      <c r="G196" s="186" t="e">
        <f t="shared" ref="G196:G229" si="10">(E196/D196)*100</f>
        <v>#DIV/0!</v>
      </c>
    </row>
    <row r="197" spans="1:7" s="5" customFormat="1" ht="24" customHeight="1">
      <c r="A197" s="24" t="s">
        <v>389</v>
      </c>
      <c r="B197" s="124"/>
      <c r="C197" s="19">
        <v>4</v>
      </c>
      <c r="D197" s="19"/>
      <c r="E197" s="19"/>
      <c r="F197" s="15"/>
      <c r="G197" s="186" t="e">
        <f t="shared" si="10"/>
        <v>#DIV/0!</v>
      </c>
    </row>
    <row r="198" spans="1:7" s="5" customFormat="1" ht="24" customHeight="1">
      <c r="A198" s="24" t="s">
        <v>390</v>
      </c>
      <c r="B198" s="124"/>
      <c r="C198" s="19">
        <v>6</v>
      </c>
      <c r="D198" s="19"/>
      <c r="E198" s="19"/>
      <c r="F198" s="15"/>
      <c r="G198" s="186" t="e">
        <f t="shared" si="10"/>
        <v>#DIV/0!</v>
      </c>
    </row>
    <row r="199" spans="1:7" s="5" customFormat="1" ht="24" customHeight="1">
      <c r="A199" s="24" t="s">
        <v>567</v>
      </c>
      <c r="B199" s="124"/>
      <c r="C199" s="19">
        <v>1.2</v>
      </c>
      <c r="D199" s="19"/>
      <c r="E199" s="19"/>
      <c r="F199" s="15"/>
      <c r="G199" s="186" t="e">
        <f t="shared" si="10"/>
        <v>#DIV/0!</v>
      </c>
    </row>
    <row r="200" spans="1:7" s="5" customFormat="1" ht="24" customHeight="1">
      <c r="A200" s="24" t="s">
        <v>568</v>
      </c>
      <c r="B200" s="124"/>
      <c r="C200" s="19">
        <v>3.2</v>
      </c>
      <c r="D200" s="19"/>
      <c r="E200" s="19"/>
      <c r="F200" s="15"/>
      <c r="G200" s="186" t="e">
        <f t="shared" si="10"/>
        <v>#DIV/0!</v>
      </c>
    </row>
    <row r="201" spans="1:7" s="5" customFormat="1" ht="24" customHeight="1">
      <c r="A201" s="24" t="s">
        <v>569</v>
      </c>
      <c r="B201" s="124"/>
      <c r="C201" s="19">
        <v>2.8</v>
      </c>
      <c r="D201" s="19"/>
      <c r="E201" s="19"/>
      <c r="F201" s="15"/>
      <c r="G201" s="186" t="e">
        <f t="shared" si="10"/>
        <v>#DIV/0!</v>
      </c>
    </row>
    <row r="202" spans="1:7" s="5" customFormat="1" ht="66" customHeight="1">
      <c r="A202" s="24" t="s">
        <v>570</v>
      </c>
      <c r="B202" s="124"/>
      <c r="C202" s="19">
        <v>0.7</v>
      </c>
      <c r="D202" s="19"/>
      <c r="E202" s="19"/>
      <c r="F202" s="15"/>
      <c r="G202" s="186" t="e">
        <f t="shared" si="10"/>
        <v>#DIV/0!</v>
      </c>
    </row>
    <row r="203" spans="1:7" s="5" customFormat="1" ht="24" customHeight="1">
      <c r="A203" s="24" t="s">
        <v>571</v>
      </c>
      <c r="B203" s="124"/>
      <c r="C203" s="19">
        <v>0.7</v>
      </c>
      <c r="D203" s="19"/>
      <c r="E203" s="19"/>
      <c r="F203" s="15"/>
      <c r="G203" s="186" t="e">
        <f t="shared" si="10"/>
        <v>#DIV/0!</v>
      </c>
    </row>
    <row r="204" spans="1:7" s="5" customFormat="1" ht="24.75" customHeight="1">
      <c r="A204" s="24" t="s">
        <v>572</v>
      </c>
      <c r="B204" s="124"/>
      <c r="C204" s="19">
        <v>2.2999999999999998</v>
      </c>
      <c r="D204" s="19"/>
      <c r="E204" s="19"/>
      <c r="F204" s="15">
        <f t="shared" si="9"/>
        <v>0</v>
      </c>
      <c r="G204" s="186" t="e">
        <f t="shared" si="10"/>
        <v>#DIV/0!</v>
      </c>
    </row>
    <row r="205" spans="1:7" s="5" customFormat="1" ht="24.75" customHeight="1">
      <c r="A205" s="24" t="s">
        <v>573</v>
      </c>
      <c r="B205" s="124"/>
      <c r="C205" s="19">
        <v>0.4</v>
      </c>
      <c r="D205" s="19"/>
      <c r="E205" s="19"/>
      <c r="F205" s="15">
        <f t="shared" si="9"/>
        <v>0</v>
      </c>
      <c r="G205" s="186" t="e">
        <f t="shared" si="10"/>
        <v>#DIV/0!</v>
      </c>
    </row>
    <row r="206" spans="1:7" s="5" customFormat="1" ht="22.5" customHeight="1">
      <c r="A206" s="24" t="s">
        <v>574</v>
      </c>
      <c r="B206" s="124"/>
      <c r="C206" s="19">
        <v>2.2999999999999998</v>
      </c>
      <c r="D206" s="19"/>
      <c r="E206" s="19"/>
      <c r="F206" s="15">
        <f t="shared" si="9"/>
        <v>0</v>
      </c>
      <c r="G206" s="186" t="e">
        <f t="shared" si="10"/>
        <v>#DIV/0!</v>
      </c>
    </row>
    <row r="207" spans="1:7" s="5" customFormat="1" ht="22.5" customHeight="1">
      <c r="A207" s="24" t="s">
        <v>575</v>
      </c>
      <c r="B207" s="124"/>
      <c r="C207" s="19">
        <v>2.6</v>
      </c>
      <c r="D207" s="19"/>
      <c r="E207" s="19"/>
      <c r="F207" s="15">
        <f t="shared" si="9"/>
        <v>0</v>
      </c>
      <c r="G207" s="186" t="e">
        <f t="shared" si="10"/>
        <v>#DIV/0!</v>
      </c>
    </row>
    <row r="208" spans="1:7" s="5" customFormat="1" ht="22.5" customHeight="1">
      <c r="A208" s="24" t="s">
        <v>576</v>
      </c>
      <c r="B208" s="124"/>
      <c r="C208" s="19">
        <v>3.4</v>
      </c>
      <c r="D208" s="19"/>
      <c r="E208" s="19"/>
      <c r="F208" s="15">
        <f t="shared" si="9"/>
        <v>0</v>
      </c>
      <c r="G208" s="186" t="e">
        <f t="shared" si="10"/>
        <v>#DIV/0!</v>
      </c>
    </row>
    <row r="209" spans="1:7" s="5" customFormat="1" ht="22.5" customHeight="1">
      <c r="A209" s="24" t="s">
        <v>577</v>
      </c>
      <c r="B209" s="124"/>
      <c r="C209" s="19">
        <v>2.2000000000000002</v>
      </c>
      <c r="D209" s="19"/>
      <c r="E209" s="19"/>
      <c r="F209" s="15">
        <f t="shared" si="9"/>
        <v>0</v>
      </c>
      <c r="G209" s="186" t="e">
        <f t="shared" si="10"/>
        <v>#DIV/0!</v>
      </c>
    </row>
    <row r="210" spans="1:7" s="5" customFormat="1" ht="23.25" customHeight="1">
      <c r="A210" s="24" t="s">
        <v>578</v>
      </c>
      <c r="B210" s="124"/>
      <c r="C210" s="19">
        <v>8.5</v>
      </c>
      <c r="D210" s="19"/>
      <c r="E210" s="19"/>
      <c r="F210" s="15">
        <f t="shared" si="9"/>
        <v>0</v>
      </c>
      <c r="G210" s="186" t="e">
        <f t="shared" si="10"/>
        <v>#DIV/0!</v>
      </c>
    </row>
    <row r="211" spans="1:7" s="5" customFormat="1" ht="23.25" customHeight="1">
      <c r="A211" s="24" t="s">
        <v>579</v>
      </c>
      <c r="B211" s="124"/>
      <c r="C211" s="19">
        <v>4.5</v>
      </c>
      <c r="D211" s="19"/>
      <c r="E211" s="19"/>
      <c r="F211" s="15">
        <f t="shared" si="9"/>
        <v>0</v>
      </c>
      <c r="G211" s="186" t="e">
        <f t="shared" si="10"/>
        <v>#DIV/0!</v>
      </c>
    </row>
    <row r="212" spans="1:7" s="5" customFormat="1" ht="21.75" customHeight="1">
      <c r="A212" s="24" t="s">
        <v>580</v>
      </c>
      <c r="B212" s="124"/>
      <c r="C212" s="19">
        <v>4</v>
      </c>
      <c r="D212" s="19"/>
      <c r="E212" s="19"/>
      <c r="F212" s="15">
        <f t="shared" si="9"/>
        <v>0</v>
      </c>
      <c r="G212" s="186" t="e">
        <f t="shared" si="10"/>
        <v>#DIV/0!</v>
      </c>
    </row>
    <row r="213" spans="1:7" s="5" customFormat="1" ht="21.75" customHeight="1">
      <c r="A213" s="24" t="s">
        <v>581</v>
      </c>
      <c r="B213" s="124"/>
      <c r="C213" s="19">
        <v>20.6</v>
      </c>
      <c r="D213" s="19"/>
      <c r="E213" s="19"/>
      <c r="F213" s="15">
        <f t="shared" si="9"/>
        <v>0</v>
      </c>
      <c r="G213" s="186" t="e">
        <f t="shared" si="10"/>
        <v>#DIV/0!</v>
      </c>
    </row>
    <row r="214" spans="1:7" s="5" customFormat="1" ht="45" customHeight="1">
      <c r="A214" s="24" t="s">
        <v>582</v>
      </c>
      <c r="B214" s="124"/>
      <c r="C214" s="19">
        <v>10.9</v>
      </c>
      <c r="D214" s="19"/>
      <c r="E214" s="19"/>
      <c r="F214" s="15">
        <f t="shared" si="9"/>
        <v>0</v>
      </c>
      <c r="G214" s="186" t="e">
        <f t="shared" si="10"/>
        <v>#DIV/0!</v>
      </c>
    </row>
    <row r="215" spans="1:7" s="5" customFormat="1" ht="60.75" customHeight="1">
      <c r="A215" s="24" t="s">
        <v>583</v>
      </c>
      <c r="B215" s="124"/>
      <c r="C215" s="19">
        <v>12.7</v>
      </c>
      <c r="D215" s="19"/>
      <c r="E215" s="19"/>
      <c r="F215" s="15">
        <f t="shared" si="9"/>
        <v>0</v>
      </c>
      <c r="G215" s="186" t="e">
        <f t="shared" si="10"/>
        <v>#DIV/0!</v>
      </c>
    </row>
    <row r="216" spans="1:7" s="5" customFormat="1" ht="27" customHeight="1">
      <c r="A216" s="24" t="s">
        <v>584</v>
      </c>
      <c r="B216" s="124"/>
      <c r="C216" s="19">
        <v>8</v>
      </c>
      <c r="D216" s="19"/>
      <c r="E216" s="19"/>
      <c r="F216" s="15">
        <f t="shared" si="9"/>
        <v>0</v>
      </c>
      <c r="G216" s="186" t="e">
        <f t="shared" si="10"/>
        <v>#DIV/0!</v>
      </c>
    </row>
    <row r="217" spans="1:7" s="5" customFormat="1" ht="63.75" customHeight="1">
      <c r="A217" s="24" t="s">
        <v>570</v>
      </c>
      <c r="B217" s="124"/>
      <c r="C217" s="19">
        <v>0.7</v>
      </c>
      <c r="D217" s="19"/>
      <c r="E217" s="19"/>
      <c r="F217" s="15">
        <f t="shared" si="9"/>
        <v>0</v>
      </c>
      <c r="G217" s="186" t="e">
        <f t="shared" si="10"/>
        <v>#DIV/0!</v>
      </c>
    </row>
    <row r="218" spans="1:7" s="5" customFormat="1" ht="62.25" customHeight="1">
      <c r="A218" s="24" t="s">
        <v>585</v>
      </c>
      <c r="B218" s="124"/>
      <c r="C218" s="19">
        <v>13.2</v>
      </c>
      <c r="D218" s="19"/>
      <c r="E218" s="19"/>
      <c r="F218" s="15">
        <f t="shared" si="9"/>
        <v>0</v>
      </c>
      <c r="G218" s="186" t="e">
        <f t="shared" si="10"/>
        <v>#DIV/0!</v>
      </c>
    </row>
    <row r="219" spans="1:7" s="5" customFormat="1" ht="62.25" customHeight="1">
      <c r="A219" s="24" t="s">
        <v>586</v>
      </c>
      <c r="B219" s="124"/>
      <c r="C219" s="19">
        <v>31.2</v>
      </c>
      <c r="D219" s="19"/>
      <c r="E219" s="19"/>
      <c r="F219" s="15">
        <f t="shared" si="9"/>
        <v>0</v>
      </c>
      <c r="G219" s="186" t="e">
        <f t="shared" si="10"/>
        <v>#DIV/0!</v>
      </c>
    </row>
    <row r="220" spans="1:7" s="5" customFormat="1" ht="47.25" customHeight="1">
      <c r="A220" s="24" t="s">
        <v>587</v>
      </c>
      <c r="B220" s="124"/>
      <c r="C220" s="19">
        <v>10.7</v>
      </c>
      <c r="D220" s="19"/>
      <c r="E220" s="19"/>
      <c r="F220" s="15">
        <f t="shared" si="9"/>
        <v>0</v>
      </c>
      <c r="G220" s="186" t="e">
        <f t="shared" si="10"/>
        <v>#DIV/0!</v>
      </c>
    </row>
    <row r="221" spans="1:7" s="5" customFormat="1" ht="47.25" customHeight="1">
      <c r="A221" s="24" t="s">
        <v>588</v>
      </c>
      <c r="B221" s="124"/>
      <c r="C221" s="19">
        <v>9.1999999999999993</v>
      </c>
      <c r="D221" s="19"/>
      <c r="E221" s="19"/>
      <c r="F221" s="15">
        <f>E221-D221</f>
        <v>0</v>
      </c>
      <c r="G221" s="186" t="e">
        <f t="shared" si="10"/>
        <v>#DIV/0!</v>
      </c>
    </row>
    <row r="222" spans="1:7" ht="63.75" customHeight="1">
      <c r="A222" s="24" t="s">
        <v>589</v>
      </c>
      <c r="B222" s="12"/>
      <c r="C222" s="19">
        <v>14.1</v>
      </c>
      <c r="D222" s="19"/>
      <c r="E222" s="19"/>
      <c r="F222" s="19">
        <f>E222-D222</f>
        <v>0</v>
      </c>
      <c r="G222" s="186" t="e">
        <f t="shared" si="10"/>
        <v>#DIV/0!</v>
      </c>
    </row>
    <row r="223" spans="1:7" ht="27" customHeight="1">
      <c r="A223" s="24" t="s">
        <v>590</v>
      </c>
      <c r="B223" s="12"/>
      <c r="C223" s="19">
        <v>15.3</v>
      </c>
      <c r="D223" s="19"/>
      <c r="E223" s="19"/>
      <c r="F223" s="19">
        <f>E223-D223</f>
        <v>0</v>
      </c>
      <c r="G223" s="186" t="e">
        <f t="shared" si="10"/>
        <v>#DIV/0!</v>
      </c>
    </row>
    <row r="224" spans="1:7" ht="27.75" customHeight="1">
      <c r="A224" s="77" t="s">
        <v>39</v>
      </c>
      <c r="B224" s="73">
        <v>4060</v>
      </c>
      <c r="C224" s="45">
        <f>C225</f>
        <v>1004.9</v>
      </c>
      <c r="D224" s="45">
        <f>SUM(D225:D228)</f>
        <v>14632.1</v>
      </c>
      <c r="E224" s="45">
        <f>SUM(E225:E229)</f>
        <v>14669.6</v>
      </c>
      <c r="F224" s="15">
        <f>E224-D224</f>
        <v>37.5</v>
      </c>
      <c r="G224" s="184">
        <f t="shared" si="10"/>
        <v>100.25628583730291</v>
      </c>
    </row>
    <row r="225" spans="1:10" ht="83.25" customHeight="1">
      <c r="A225" s="175" t="s">
        <v>507</v>
      </c>
      <c r="B225" s="12"/>
      <c r="C225" s="19">
        <v>1004.9</v>
      </c>
      <c r="D225" s="19">
        <v>6590</v>
      </c>
      <c r="E225" s="19">
        <v>6590</v>
      </c>
      <c r="F225" s="19">
        <f>E225-D225</f>
        <v>0</v>
      </c>
      <c r="G225" s="184">
        <f t="shared" si="10"/>
        <v>100</v>
      </c>
    </row>
    <row r="226" spans="1:10" ht="71.25" customHeight="1">
      <c r="A226" s="175" t="s">
        <v>508</v>
      </c>
      <c r="B226" s="12"/>
      <c r="C226" s="19"/>
      <c r="D226" s="19">
        <v>4449.6000000000004</v>
      </c>
      <c r="E226" s="19">
        <v>4449.6000000000004</v>
      </c>
      <c r="F226" s="19"/>
      <c r="G226" s="184">
        <f t="shared" si="10"/>
        <v>100</v>
      </c>
    </row>
    <row r="227" spans="1:10" ht="102.75" customHeight="1">
      <c r="A227" s="175" t="s">
        <v>509</v>
      </c>
      <c r="B227" s="12"/>
      <c r="C227" s="19"/>
      <c r="D227" s="19">
        <v>214.9</v>
      </c>
      <c r="E227" s="19">
        <v>214.9</v>
      </c>
      <c r="F227" s="19"/>
      <c r="G227" s="184">
        <f t="shared" si="10"/>
        <v>100</v>
      </c>
    </row>
    <row r="228" spans="1:10" ht="81.75" customHeight="1">
      <c r="A228" s="63" t="s">
        <v>510</v>
      </c>
      <c r="B228" s="12"/>
      <c r="C228" s="19"/>
      <c r="D228" s="19">
        <v>3377.6</v>
      </c>
      <c r="E228" s="19">
        <v>3377.6</v>
      </c>
      <c r="F228" s="19"/>
      <c r="G228" s="184">
        <f t="shared" si="10"/>
        <v>100</v>
      </c>
    </row>
    <row r="229" spans="1:10" ht="95.25" customHeight="1">
      <c r="A229" s="84" t="s">
        <v>607</v>
      </c>
      <c r="B229" s="12"/>
      <c r="C229" s="19"/>
      <c r="D229" s="19"/>
      <c r="E229" s="19">
        <v>37.5</v>
      </c>
      <c r="F229" s="19"/>
      <c r="G229" s="184" t="e">
        <f t="shared" si="10"/>
        <v>#DIV/0!</v>
      </c>
    </row>
    <row r="230" spans="1:10" ht="26.25" customHeight="1">
      <c r="A230" s="7"/>
      <c r="B230" s="3"/>
      <c r="C230" s="34"/>
      <c r="D230" s="34"/>
      <c r="E230" s="34"/>
      <c r="F230" s="34"/>
      <c r="G230" s="39"/>
    </row>
    <row r="231" spans="1:10" ht="26.25" customHeight="1">
      <c r="A231" s="31" t="s">
        <v>256</v>
      </c>
      <c r="B231" s="32"/>
      <c r="C231" s="211"/>
      <c r="D231" s="211"/>
      <c r="E231" s="203" t="s">
        <v>204</v>
      </c>
      <c r="F231" s="203"/>
      <c r="G231" s="203"/>
      <c r="H231" s="33"/>
      <c r="J231" s="21"/>
    </row>
    <row r="232" spans="1:10">
      <c r="A232" s="173" t="s">
        <v>60</v>
      </c>
      <c r="B232" s="2"/>
      <c r="C232" s="207" t="s">
        <v>66</v>
      </c>
      <c r="D232" s="207"/>
      <c r="E232" s="128"/>
      <c r="F232" s="2" t="s">
        <v>17</v>
      </c>
    </row>
    <row r="233" spans="1:10">
      <c r="A233" s="7"/>
      <c r="C233" s="126"/>
      <c r="D233" s="6"/>
      <c r="E233" s="6"/>
      <c r="F233" s="6"/>
    </row>
    <row r="234" spans="1:10">
      <c r="A234" s="7"/>
      <c r="C234" s="126"/>
      <c r="D234" s="6"/>
      <c r="E234" s="6"/>
      <c r="F234" s="6"/>
    </row>
    <row r="235" spans="1:10">
      <c r="A235" s="7"/>
      <c r="C235" s="126"/>
      <c r="D235" s="6"/>
      <c r="E235" s="6"/>
      <c r="F235" s="6"/>
    </row>
    <row r="236" spans="1:10">
      <c r="A236" s="7"/>
      <c r="C236" s="126"/>
      <c r="D236" s="6"/>
      <c r="E236" s="6"/>
      <c r="F236" s="6"/>
    </row>
    <row r="237" spans="1:10">
      <c r="A237" s="7"/>
      <c r="C237" s="126"/>
      <c r="D237" s="6"/>
      <c r="E237" s="6"/>
      <c r="F237" s="6"/>
    </row>
    <row r="238" spans="1:10">
      <c r="A238" s="7"/>
      <c r="C238" s="126"/>
      <c r="D238" s="6"/>
      <c r="E238" s="6"/>
      <c r="F238" s="6"/>
    </row>
    <row r="239" spans="1:10">
      <c r="A239" s="7"/>
      <c r="C239" s="126"/>
      <c r="D239" s="6"/>
      <c r="E239" s="6"/>
      <c r="F239" s="6"/>
    </row>
    <row r="240" spans="1:10">
      <c r="A240" s="7"/>
      <c r="C240" s="126"/>
      <c r="D240" s="6"/>
      <c r="E240" s="6"/>
      <c r="F240" s="6"/>
    </row>
    <row r="241" spans="1:6">
      <c r="A241" s="7"/>
      <c r="C241" s="126"/>
      <c r="D241" s="6"/>
      <c r="E241" s="6"/>
      <c r="F241" s="6"/>
    </row>
    <row r="242" spans="1:6">
      <c r="A242" s="7"/>
      <c r="C242" s="126"/>
      <c r="D242" s="6"/>
      <c r="E242" s="6"/>
      <c r="F242" s="6"/>
    </row>
    <row r="243" spans="1:6">
      <c r="A243" s="7"/>
      <c r="C243" s="126"/>
      <c r="D243" s="6"/>
      <c r="E243" s="6"/>
      <c r="F243" s="6"/>
    </row>
    <row r="244" spans="1:6">
      <c r="A244" s="7"/>
      <c r="C244" s="126"/>
      <c r="D244" s="6"/>
      <c r="E244" s="6"/>
      <c r="F244" s="6"/>
    </row>
    <row r="245" spans="1:6">
      <c r="A245" s="7"/>
      <c r="C245" s="126"/>
      <c r="D245" s="6"/>
      <c r="E245" s="6"/>
      <c r="F245" s="6"/>
    </row>
    <row r="246" spans="1:6">
      <c r="A246" s="7"/>
      <c r="C246" s="126"/>
      <c r="D246" s="6"/>
      <c r="E246" s="6"/>
      <c r="F246" s="6"/>
    </row>
    <row r="247" spans="1:6">
      <c r="A247" s="7"/>
      <c r="C247" s="126"/>
      <c r="D247" s="6"/>
      <c r="E247" s="6"/>
      <c r="F247" s="6"/>
    </row>
    <row r="248" spans="1:6">
      <c r="A248" s="7"/>
      <c r="C248" s="126"/>
      <c r="D248" s="6"/>
      <c r="E248" s="6"/>
      <c r="F248" s="6"/>
    </row>
    <row r="249" spans="1:6">
      <c r="A249" s="7"/>
      <c r="C249" s="126"/>
      <c r="D249" s="6"/>
      <c r="E249" s="6"/>
      <c r="F249" s="6"/>
    </row>
    <row r="250" spans="1:6">
      <c r="A250" s="7"/>
      <c r="C250" s="126"/>
      <c r="D250" s="6"/>
      <c r="E250" s="6"/>
      <c r="F250" s="6"/>
    </row>
    <row r="251" spans="1:6">
      <c r="A251" s="7"/>
      <c r="C251" s="126"/>
      <c r="D251" s="6"/>
      <c r="E251" s="6"/>
      <c r="F251" s="6"/>
    </row>
    <row r="252" spans="1:6">
      <c r="A252" s="7"/>
      <c r="C252" s="126"/>
      <c r="D252" s="6"/>
      <c r="E252" s="6"/>
      <c r="F252" s="6"/>
    </row>
    <row r="253" spans="1:6">
      <c r="A253" s="7"/>
      <c r="C253" s="126"/>
      <c r="D253" s="6"/>
      <c r="E253" s="6"/>
      <c r="F253" s="6"/>
    </row>
    <row r="254" spans="1:6">
      <c r="A254" s="7"/>
      <c r="C254" s="126"/>
      <c r="D254" s="6"/>
      <c r="E254" s="6"/>
      <c r="F254" s="6"/>
    </row>
    <row r="255" spans="1:6">
      <c r="A255" s="7"/>
      <c r="C255" s="126"/>
      <c r="D255" s="6"/>
      <c r="E255" s="6"/>
      <c r="F255" s="6"/>
    </row>
    <row r="256" spans="1:6">
      <c r="A256" s="7"/>
      <c r="C256" s="126"/>
      <c r="D256" s="6"/>
      <c r="E256" s="6"/>
      <c r="F256" s="6"/>
    </row>
    <row r="257" spans="1:6">
      <c r="A257" s="7"/>
      <c r="C257" s="126"/>
      <c r="D257" s="6"/>
      <c r="E257" s="6"/>
      <c r="F257" s="6"/>
    </row>
    <row r="258" spans="1:6">
      <c r="A258" s="7"/>
      <c r="C258" s="126"/>
      <c r="D258" s="6"/>
      <c r="E258" s="6"/>
      <c r="F258" s="6"/>
    </row>
    <row r="259" spans="1:6">
      <c r="A259" s="7"/>
      <c r="C259" s="126"/>
      <c r="D259" s="6"/>
      <c r="E259" s="6"/>
      <c r="F259" s="6"/>
    </row>
    <row r="260" spans="1:6">
      <c r="A260" s="7"/>
      <c r="C260" s="126"/>
      <c r="D260" s="6"/>
      <c r="E260" s="6"/>
      <c r="F260" s="6"/>
    </row>
    <row r="261" spans="1:6">
      <c r="A261" s="7"/>
      <c r="C261" s="126"/>
      <c r="D261" s="6"/>
      <c r="E261" s="6"/>
      <c r="F261" s="6"/>
    </row>
    <row r="262" spans="1:6">
      <c r="A262" s="7"/>
      <c r="C262" s="126"/>
      <c r="D262" s="6"/>
      <c r="E262" s="6"/>
      <c r="F262" s="6"/>
    </row>
    <row r="263" spans="1:6">
      <c r="A263" s="7"/>
      <c r="C263" s="126"/>
      <c r="D263" s="6"/>
      <c r="E263" s="6"/>
      <c r="F263" s="6"/>
    </row>
    <row r="264" spans="1:6">
      <c r="A264" s="7"/>
      <c r="C264" s="126"/>
      <c r="D264" s="6"/>
      <c r="E264" s="6"/>
      <c r="F264" s="6"/>
    </row>
    <row r="265" spans="1:6">
      <c r="A265" s="7"/>
      <c r="C265" s="126"/>
      <c r="D265" s="6"/>
      <c r="E265" s="6"/>
      <c r="F265" s="6"/>
    </row>
    <row r="266" spans="1:6">
      <c r="A266" s="7"/>
      <c r="C266" s="126"/>
      <c r="D266" s="6"/>
      <c r="E266" s="6"/>
      <c r="F266" s="6"/>
    </row>
    <row r="267" spans="1:6">
      <c r="A267" s="7"/>
      <c r="C267" s="126"/>
      <c r="D267" s="6"/>
      <c r="E267" s="6"/>
      <c r="F267" s="6"/>
    </row>
    <row r="268" spans="1:6">
      <c r="A268" s="7"/>
      <c r="C268" s="126"/>
      <c r="D268" s="6"/>
      <c r="E268" s="6"/>
      <c r="F268" s="6"/>
    </row>
    <row r="269" spans="1:6">
      <c r="A269" s="7"/>
      <c r="C269" s="126"/>
      <c r="D269" s="6"/>
      <c r="E269" s="6"/>
      <c r="F269" s="6"/>
    </row>
    <row r="270" spans="1:6">
      <c r="A270" s="7"/>
      <c r="C270" s="126"/>
      <c r="D270" s="6"/>
      <c r="E270" s="6"/>
      <c r="F270" s="6"/>
    </row>
    <row r="271" spans="1:6">
      <c r="A271" s="7"/>
      <c r="C271" s="126"/>
      <c r="D271" s="6"/>
      <c r="E271" s="6"/>
      <c r="F271" s="6"/>
    </row>
    <row r="272" spans="1:6">
      <c r="A272" s="7"/>
      <c r="C272" s="126"/>
      <c r="D272" s="6"/>
      <c r="E272" s="6"/>
      <c r="F272" s="6"/>
    </row>
    <row r="273" spans="1:6">
      <c r="A273" s="7"/>
      <c r="C273" s="126"/>
      <c r="D273" s="6"/>
      <c r="E273" s="6"/>
      <c r="F273" s="6"/>
    </row>
    <row r="274" spans="1:6">
      <c r="A274" s="7"/>
      <c r="C274" s="126"/>
      <c r="D274" s="6"/>
      <c r="E274" s="6"/>
      <c r="F274" s="6"/>
    </row>
    <row r="275" spans="1:6">
      <c r="A275" s="7"/>
      <c r="C275" s="126"/>
      <c r="D275" s="6"/>
      <c r="E275" s="6"/>
      <c r="F275" s="6"/>
    </row>
    <row r="276" spans="1:6">
      <c r="A276" s="7"/>
      <c r="C276" s="126"/>
      <c r="D276" s="6"/>
      <c r="E276" s="6"/>
      <c r="F276" s="6"/>
    </row>
    <row r="277" spans="1:6">
      <c r="A277" s="7"/>
      <c r="C277" s="126"/>
      <c r="D277" s="6"/>
      <c r="E277" s="6"/>
      <c r="F277" s="6"/>
    </row>
    <row r="278" spans="1:6">
      <c r="A278" s="7"/>
      <c r="C278" s="126"/>
      <c r="D278" s="6"/>
      <c r="E278" s="6"/>
      <c r="F278" s="6"/>
    </row>
    <row r="279" spans="1:6">
      <c r="A279" s="7"/>
      <c r="C279" s="126"/>
      <c r="D279" s="6"/>
      <c r="E279" s="6"/>
      <c r="F279" s="6"/>
    </row>
    <row r="280" spans="1:6">
      <c r="A280" s="7"/>
      <c r="C280" s="126"/>
      <c r="D280" s="6"/>
      <c r="E280" s="6"/>
      <c r="F280" s="6"/>
    </row>
    <row r="281" spans="1:6">
      <c r="A281" s="7"/>
      <c r="C281" s="126"/>
      <c r="D281" s="6"/>
      <c r="E281" s="6"/>
      <c r="F281" s="6"/>
    </row>
    <row r="282" spans="1:6">
      <c r="A282" s="7"/>
      <c r="C282" s="126"/>
      <c r="D282" s="6"/>
      <c r="E282" s="6"/>
      <c r="F282" s="6"/>
    </row>
    <row r="283" spans="1:6">
      <c r="A283" s="7"/>
      <c r="C283" s="126"/>
      <c r="D283" s="6"/>
      <c r="E283" s="6"/>
      <c r="F283" s="6"/>
    </row>
    <row r="284" spans="1:6">
      <c r="A284" s="7"/>
      <c r="C284" s="126"/>
      <c r="D284" s="6"/>
      <c r="E284" s="6"/>
      <c r="F284" s="6"/>
    </row>
    <row r="285" spans="1:6">
      <c r="A285" s="7"/>
      <c r="C285" s="126"/>
      <c r="D285" s="6"/>
      <c r="E285" s="6"/>
      <c r="F285" s="6"/>
    </row>
    <row r="286" spans="1:6">
      <c r="A286" s="7"/>
      <c r="C286" s="126"/>
      <c r="D286" s="6"/>
      <c r="E286" s="6"/>
      <c r="F286" s="6"/>
    </row>
    <row r="287" spans="1:6">
      <c r="A287" s="7"/>
    </row>
    <row r="288" spans="1:6">
      <c r="A288" s="8"/>
    </row>
    <row r="289" spans="1:1">
      <c r="A289" s="8"/>
    </row>
    <row r="290" spans="1:1">
      <c r="A290" s="8"/>
    </row>
    <row r="291" spans="1:1">
      <c r="A291" s="8"/>
    </row>
    <row r="292" spans="1:1">
      <c r="A292" s="8"/>
    </row>
    <row r="293" spans="1:1">
      <c r="A293" s="8"/>
    </row>
    <row r="294" spans="1:1">
      <c r="A294" s="8"/>
    </row>
    <row r="295" spans="1:1">
      <c r="A295" s="8"/>
    </row>
    <row r="296" spans="1:1">
      <c r="A296" s="8"/>
    </row>
    <row r="297" spans="1:1">
      <c r="A297" s="8"/>
    </row>
    <row r="298" spans="1:1">
      <c r="A298" s="8"/>
    </row>
    <row r="299" spans="1:1">
      <c r="A299" s="8"/>
    </row>
    <row r="300" spans="1:1">
      <c r="A300" s="8"/>
    </row>
    <row r="301" spans="1:1">
      <c r="A301" s="8"/>
    </row>
    <row r="302" spans="1:1">
      <c r="A302" s="8"/>
    </row>
    <row r="303" spans="1:1">
      <c r="A303" s="8"/>
    </row>
    <row r="304" spans="1:1">
      <c r="A304" s="8"/>
    </row>
    <row r="305" spans="1:1">
      <c r="A305" s="8"/>
    </row>
    <row r="306" spans="1:1">
      <c r="A306" s="8"/>
    </row>
    <row r="307" spans="1:1">
      <c r="A307" s="8"/>
    </row>
    <row r="308" spans="1:1">
      <c r="A308" s="8"/>
    </row>
    <row r="309" spans="1:1">
      <c r="A309" s="8"/>
    </row>
    <row r="310" spans="1:1">
      <c r="A310" s="8"/>
    </row>
    <row r="311" spans="1:1">
      <c r="A311" s="8"/>
    </row>
    <row r="312" spans="1:1">
      <c r="A312" s="8"/>
    </row>
    <row r="313" spans="1:1">
      <c r="A313" s="8"/>
    </row>
    <row r="314" spans="1:1">
      <c r="A314" s="8"/>
    </row>
    <row r="315" spans="1:1">
      <c r="A315" s="8"/>
    </row>
    <row r="316" spans="1:1">
      <c r="A316" s="8"/>
    </row>
    <row r="317" spans="1:1">
      <c r="A317" s="8"/>
    </row>
    <row r="318" spans="1:1">
      <c r="A318" s="8"/>
    </row>
    <row r="319" spans="1:1">
      <c r="A319" s="8"/>
    </row>
    <row r="320" spans="1:1">
      <c r="A320" s="8"/>
    </row>
    <row r="321" spans="1:1">
      <c r="A321" s="8"/>
    </row>
    <row r="322" spans="1:1">
      <c r="A322" s="8"/>
    </row>
    <row r="323" spans="1:1">
      <c r="A323" s="8"/>
    </row>
    <row r="324" spans="1:1">
      <c r="A324" s="8"/>
    </row>
    <row r="325" spans="1:1">
      <c r="A325" s="8"/>
    </row>
    <row r="326" spans="1:1">
      <c r="A326" s="8"/>
    </row>
    <row r="327" spans="1:1">
      <c r="A327" s="8"/>
    </row>
    <row r="328" spans="1:1">
      <c r="A328" s="8"/>
    </row>
    <row r="329" spans="1:1">
      <c r="A329" s="8"/>
    </row>
    <row r="330" spans="1:1">
      <c r="A330" s="8"/>
    </row>
    <row r="331" spans="1:1">
      <c r="A331" s="8"/>
    </row>
    <row r="332" spans="1:1">
      <c r="A332" s="8"/>
    </row>
    <row r="333" spans="1:1">
      <c r="A333" s="8"/>
    </row>
    <row r="334" spans="1:1">
      <c r="A334" s="8"/>
    </row>
    <row r="335" spans="1:1">
      <c r="A335" s="8"/>
    </row>
    <row r="336" spans="1:1">
      <c r="A336" s="8"/>
    </row>
    <row r="337" spans="1:1">
      <c r="A337" s="8"/>
    </row>
    <row r="338" spans="1:1">
      <c r="A338" s="8"/>
    </row>
    <row r="339" spans="1:1">
      <c r="A339" s="8"/>
    </row>
    <row r="340" spans="1:1">
      <c r="A340" s="8"/>
    </row>
    <row r="341" spans="1:1">
      <c r="A341" s="8"/>
    </row>
    <row r="342" spans="1:1">
      <c r="A342" s="8"/>
    </row>
    <row r="343" spans="1:1">
      <c r="A343" s="8"/>
    </row>
    <row r="344" spans="1:1">
      <c r="A344" s="8"/>
    </row>
    <row r="345" spans="1:1">
      <c r="A345" s="8"/>
    </row>
    <row r="346" spans="1:1">
      <c r="A346" s="8"/>
    </row>
    <row r="347" spans="1:1">
      <c r="A347" s="8"/>
    </row>
    <row r="348" spans="1:1">
      <c r="A348" s="8"/>
    </row>
    <row r="349" spans="1:1">
      <c r="A349" s="8"/>
    </row>
    <row r="350" spans="1:1">
      <c r="A350" s="8"/>
    </row>
    <row r="351" spans="1:1">
      <c r="A351" s="8"/>
    </row>
    <row r="352" spans="1:1">
      <c r="A352" s="8"/>
    </row>
    <row r="353" spans="1:1">
      <c r="A353" s="8"/>
    </row>
    <row r="354" spans="1:1">
      <c r="A354" s="8"/>
    </row>
    <row r="355" spans="1:1">
      <c r="A355" s="8"/>
    </row>
    <row r="356" spans="1:1">
      <c r="A356" s="8"/>
    </row>
    <row r="357" spans="1:1">
      <c r="A357" s="8"/>
    </row>
    <row r="358" spans="1:1">
      <c r="A358" s="8"/>
    </row>
    <row r="359" spans="1:1">
      <c r="A359" s="8"/>
    </row>
    <row r="360" spans="1:1">
      <c r="A360" s="8"/>
    </row>
    <row r="361" spans="1:1">
      <c r="A361" s="8"/>
    </row>
    <row r="362" spans="1:1">
      <c r="A362" s="8"/>
    </row>
    <row r="363" spans="1:1">
      <c r="A363" s="8"/>
    </row>
    <row r="364" spans="1:1">
      <c r="A364" s="8"/>
    </row>
    <row r="365" spans="1:1">
      <c r="A365" s="8"/>
    </row>
    <row r="366" spans="1:1">
      <c r="A366" s="8"/>
    </row>
    <row r="367" spans="1:1">
      <c r="A367" s="8"/>
    </row>
    <row r="368" spans="1:1">
      <c r="A368" s="8"/>
    </row>
    <row r="369" spans="1:1">
      <c r="A369" s="8"/>
    </row>
    <row r="370" spans="1:1">
      <c r="A370" s="8"/>
    </row>
    <row r="371" spans="1:1">
      <c r="A371" s="8"/>
    </row>
    <row r="372" spans="1:1">
      <c r="A372" s="8"/>
    </row>
    <row r="373" spans="1:1">
      <c r="A373" s="8"/>
    </row>
    <row r="374" spans="1:1">
      <c r="A374" s="8"/>
    </row>
    <row r="375" spans="1:1">
      <c r="A375" s="8"/>
    </row>
    <row r="376" spans="1:1">
      <c r="A376" s="8"/>
    </row>
    <row r="377" spans="1:1">
      <c r="A377" s="8"/>
    </row>
    <row r="378" spans="1:1">
      <c r="A378" s="8"/>
    </row>
    <row r="379" spans="1:1">
      <c r="A379" s="8"/>
    </row>
    <row r="380" spans="1:1">
      <c r="A380" s="8"/>
    </row>
    <row r="381" spans="1:1">
      <c r="A381" s="8"/>
    </row>
    <row r="382" spans="1:1">
      <c r="A382" s="8"/>
    </row>
    <row r="383" spans="1:1">
      <c r="A383" s="8"/>
    </row>
    <row r="384" spans="1:1">
      <c r="A384" s="8"/>
    </row>
    <row r="385" spans="1:1">
      <c r="A385" s="8"/>
    </row>
    <row r="386" spans="1:1">
      <c r="A386" s="8"/>
    </row>
    <row r="387" spans="1:1">
      <c r="A387" s="8"/>
    </row>
    <row r="388" spans="1:1">
      <c r="A388" s="8"/>
    </row>
    <row r="389" spans="1:1">
      <c r="A389" s="8"/>
    </row>
    <row r="390" spans="1:1">
      <c r="A390" s="8"/>
    </row>
    <row r="391" spans="1:1">
      <c r="A391" s="8"/>
    </row>
    <row r="392" spans="1:1">
      <c r="A392" s="8"/>
    </row>
    <row r="393" spans="1:1">
      <c r="A393" s="8"/>
    </row>
    <row r="394" spans="1:1">
      <c r="A394" s="8"/>
    </row>
    <row r="395" spans="1:1">
      <c r="A395" s="8"/>
    </row>
    <row r="396" spans="1:1">
      <c r="A396" s="8"/>
    </row>
    <row r="397" spans="1:1">
      <c r="A397" s="8"/>
    </row>
    <row r="398" spans="1:1">
      <c r="A398" s="8"/>
    </row>
    <row r="399" spans="1:1">
      <c r="A399" s="8"/>
    </row>
    <row r="400" spans="1:1">
      <c r="A400" s="8"/>
    </row>
    <row r="401" spans="1:1">
      <c r="A401" s="8"/>
    </row>
    <row r="402" spans="1:1">
      <c r="A402" s="8"/>
    </row>
    <row r="403" spans="1:1">
      <c r="A403" s="8"/>
    </row>
    <row r="404" spans="1:1">
      <c r="A404" s="8"/>
    </row>
    <row r="405" spans="1:1">
      <c r="A405" s="8"/>
    </row>
    <row r="406" spans="1:1">
      <c r="A406" s="8"/>
    </row>
    <row r="407" spans="1:1">
      <c r="A407" s="8"/>
    </row>
    <row r="408" spans="1:1">
      <c r="A408" s="8"/>
    </row>
    <row r="409" spans="1:1">
      <c r="A409" s="8"/>
    </row>
    <row r="410" spans="1:1">
      <c r="A410" s="8"/>
    </row>
    <row r="411" spans="1:1">
      <c r="A411" s="8"/>
    </row>
    <row r="412" spans="1:1">
      <c r="A412" s="8"/>
    </row>
    <row r="413" spans="1:1">
      <c r="A413" s="8"/>
    </row>
    <row r="414" spans="1:1">
      <c r="A414" s="8"/>
    </row>
    <row r="415" spans="1:1">
      <c r="A415" s="8"/>
    </row>
    <row r="416" spans="1:1">
      <c r="A416" s="8"/>
    </row>
    <row r="417" spans="1:1">
      <c r="A417" s="8"/>
    </row>
    <row r="418" spans="1:1">
      <c r="A418" s="8"/>
    </row>
    <row r="419" spans="1:1">
      <c r="A419" s="8"/>
    </row>
    <row r="420" spans="1:1">
      <c r="A420" s="8"/>
    </row>
    <row r="421" spans="1:1">
      <c r="A421" s="8"/>
    </row>
    <row r="422" spans="1:1">
      <c r="A422" s="8"/>
    </row>
    <row r="423" spans="1:1">
      <c r="A423" s="8"/>
    </row>
    <row r="424" spans="1:1">
      <c r="A424" s="8"/>
    </row>
    <row r="425" spans="1:1">
      <c r="A425" s="8"/>
    </row>
    <row r="426" spans="1:1">
      <c r="A426" s="8"/>
    </row>
    <row r="427" spans="1:1">
      <c r="A427" s="8"/>
    </row>
    <row r="428" spans="1:1">
      <c r="A428" s="8"/>
    </row>
    <row r="429" spans="1:1">
      <c r="A429" s="8"/>
    </row>
    <row r="430" spans="1:1">
      <c r="A430" s="8"/>
    </row>
    <row r="431" spans="1:1">
      <c r="A431" s="8"/>
    </row>
    <row r="432" spans="1:1">
      <c r="A432" s="8"/>
    </row>
    <row r="433" spans="1:1">
      <c r="A433" s="8"/>
    </row>
    <row r="434" spans="1:1">
      <c r="A434" s="8"/>
    </row>
    <row r="435" spans="1:1">
      <c r="A435" s="8"/>
    </row>
    <row r="436" spans="1:1">
      <c r="A436" s="8"/>
    </row>
    <row r="437" spans="1:1">
      <c r="A437" s="8"/>
    </row>
    <row r="438" spans="1:1">
      <c r="A438" s="8"/>
    </row>
    <row r="439" spans="1:1">
      <c r="A439" s="8"/>
    </row>
    <row r="440" spans="1:1">
      <c r="A440" s="8"/>
    </row>
    <row r="441" spans="1:1">
      <c r="A441" s="8"/>
    </row>
    <row r="442" spans="1:1">
      <c r="A442" s="8"/>
    </row>
    <row r="443" spans="1:1">
      <c r="A443" s="8"/>
    </row>
    <row r="444" spans="1:1">
      <c r="A444" s="8"/>
    </row>
    <row r="445" spans="1:1">
      <c r="A445" s="8"/>
    </row>
    <row r="446" spans="1:1">
      <c r="A446" s="8"/>
    </row>
    <row r="447" spans="1:1">
      <c r="A447" s="8"/>
    </row>
    <row r="448" spans="1:1">
      <c r="A448" s="8"/>
    </row>
    <row r="449" spans="1:1">
      <c r="A449" s="8"/>
    </row>
    <row r="450" spans="1:1">
      <c r="A450" s="8"/>
    </row>
    <row r="451" spans="1:1">
      <c r="A451" s="8"/>
    </row>
    <row r="452" spans="1:1">
      <c r="A452" s="8"/>
    </row>
    <row r="453" spans="1:1">
      <c r="A453" s="8"/>
    </row>
    <row r="454" spans="1:1">
      <c r="A454" s="8"/>
    </row>
  </sheetData>
  <mergeCells count="4">
    <mergeCell ref="C231:D231"/>
    <mergeCell ref="C232:D232"/>
    <mergeCell ref="A1:F1"/>
    <mergeCell ref="E231:G231"/>
  </mergeCells>
  <pageMargins left="0.39370078740157483" right="0.39370078740157483" top="0.59055118110236227" bottom="0.39370078740157483" header="0.19685039370078741" footer="0.19685039370078741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fitToPage="1"/>
  </sheetPr>
  <dimension ref="A1:Q130"/>
  <sheetViews>
    <sheetView view="pageBreakPreview" topLeftCell="A4" zoomScale="60" zoomScaleNormal="60" workbookViewId="0">
      <selection activeCell="S21" sqref="S21"/>
    </sheetView>
  </sheetViews>
  <sheetFormatPr defaultRowHeight="20.25"/>
  <cols>
    <col min="1" max="1" width="9.85546875" style="1" customWidth="1"/>
    <col min="2" max="2" width="26.140625" style="1" customWidth="1"/>
    <col min="3" max="3" width="11.28515625" style="1" customWidth="1"/>
    <col min="4" max="4" width="15.28515625" style="1" customWidth="1"/>
    <col min="5" max="10" width="18.42578125" style="1" customWidth="1"/>
    <col min="11" max="11" width="18.7109375" style="1" customWidth="1"/>
    <col min="12" max="12" width="19" style="1" customWidth="1"/>
    <col min="13" max="14" width="18.42578125" style="1" customWidth="1"/>
    <col min="15" max="16" width="19.42578125" style="1" customWidth="1"/>
    <col min="17" max="17" width="12.7109375" style="1" bestFit="1" customWidth="1"/>
    <col min="18" max="16384" width="9.140625" style="1"/>
  </cols>
  <sheetData>
    <row r="1" spans="1:17">
      <c r="A1" s="102"/>
      <c r="B1" s="102"/>
      <c r="C1" s="102"/>
      <c r="D1" s="102"/>
      <c r="E1" s="102"/>
      <c r="F1" s="102"/>
      <c r="G1" s="102"/>
      <c r="H1" s="102"/>
      <c r="I1" s="103"/>
      <c r="J1" s="103"/>
      <c r="P1" s="103"/>
    </row>
    <row r="2" spans="1:17" s="9" customFormat="1" ht="42.75" customHeight="1">
      <c r="D2" s="223" t="s">
        <v>258</v>
      </c>
      <c r="E2" s="223"/>
      <c r="F2" s="223"/>
      <c r="G2" s="223"/>
      <c r="H2" s="223"/>
      <c r="I2" s="223"/>
      <c r="J2" s="223"/>
      <c r="K2" s="223"/>
      <c r="L2" s="223"/>
      <c r="M2" s="223"/>
    </row>
    <row r="3" spans="1:17">
      <c r="A3" s="104"/>
      <c r="B3" s="104"/>
      <c r="C3" s="104"/>
      <c r="D3" s="104"/>
      <c r="E3" s="105"/>
      <c r="F3" s="105"/>
      <c r="G3" s="105"/>
      <c r="H3" s="105"/>
      <c r="I3" s="105"/>
      <c r="J3" s="105"/>
      <c r="P3" s="103" t="s">
        <v>51</v>
      </c>
    </row>
    <row r="4" spans="1:17" ht="79.5" customHeight="1">
      <c r="A4" s="224" t="s">
        <v>8</v>
      </c>
      <c r="B4" s="224" t="s">
        <v>20</v>
      </c>
      <c r="C4" s="224"/>
      <c r="D4" s="224"/>
      <c r="E4" s="224" t="s">
        <v>133</v>
      </c>
      <c r="F4" s="224"/>
      <c r="G4" s="224" t="s">
        <v>442</v>
      </c>
      <c r="H4" s="224"/>
      <c r="I4" s="224" t="s">
        <v>134</v>
      </c>
      <c r="J4" s="224"/>
      <c r="K4" s="224" t="s">
        <v>441</v>
      </c>
      <c r="L4" s="224"/>
      <c r="M4" s="224" t="s">
        <v>135</v>
      </c>
      <c r="N4" s="224"/>
      <c r="O4" s="224"/>
      <c r="P4" s="224"/>
    </row>
    <row r="5" spans="1:17" ht="85.5" customHeight="1">
      <c r="A5" s="224"/>
      <c r="B5" s="224"/>
      <c r="C5" s="224"/>
      <c r="D5" s="224"/>
      <c r="E5" s="106" t="s">
        <v>511</v>
      </c>
      <c r="F5" s="106" t="s">
        <v>512</v>
      </c>
      <c r="G5" s="106" t="s">
        <v>511</v>
      </c>
      <c r="H5" s="106" t="s">
        <v>512</v>
      </c>
      <c r="I5" s="106" t="s">
        <v>511</v>
      </c>
      <c r="J5" s="106" t="s">
        <v>512</v>
      </c>
      <c r="K5" s="106" t="s">
        <v>511</v>
      </c>
      <c r="L5" s="106" t="s">
        <v>512</v>
      </c>
      <c r="M5" s="106" t="s">
        <v>511</v>
      </c>
      <c r="N5" s="106" t="s">
        <v>512</v>
      </c>
      <c r="O5" s="200" t="s">
        <v>110</v>
      </c>
      <c r="P5" s="200" t="s">
        <v>113</v>
      </c>
    </row>
    <row r="6" spans="1:17" ht="30" customHeight="1">
      <c r="A6" s="200">
        <v>1</v>
      </c>
      <c r="B6" s="224">
        <v>2</v>
      </c>
      <c r="C6" s="224"/>
      <c r="D6" s="224"/>
      <c r="E6" s="200">
        <v>4</v>
      </c>
      <c r="F6" s="200">
        <v>5</v>
      </c>
      <c r="G6" s="200">
        <v>7</v>
      </c>
      <c r="H6" s="200">
        <v>8</v>
      </c>
      <c r="I6" s="200">
        <v>10</v>
      </c>
      <c r="J6" s="200">
        <v>11</v>
      </c>
      <c r="K6" s="132">
        <v>13</v>
      </c>
      <c r="L6" s="132">
        <v>14</v>
      </c>
      <c r="M6" s="132">
        <v>16</v>
      </c>
      <c r="N6" s="132">
        <v>17</v>
      </c>
      <c r="O6" s="132">
        <v>18</v>
      </c>
      <c r="P6" s="132">
        <v>19</v>
      </c>
    </row>
    <row r="7" spans="1:17" ht="48" customHeight="1">
      <c r="A7" s="107" t="s">
        <v>85</v>
      </c>
      <c r="B7" s="220" t="s">
        <v>96</v>
      </c>
      <c r="C7" s="221"/>
      <c r="D7" s="221"/>
      <c r="E7" s="15">
        <f>SUM(E8:E23)</f>
        <v>0</v>
      </c>
      <c r="F7" s="15">
        <f>SUM(F8:F23)</f>
        <v>0</v>
      </c>
      <c r="G7" s="15">
        <f>SUM(G8:G23)</f>
        <v>6914.8</v>
      </c>
      <c r="H7" s="15">
        <f>SUM(H8:H32)</f>
        <v>6914.8</v>
      </c>
      <c r="I7" s="15">
        <f>SUM(I8:I32)</f>
        <v>0</v>
      </c>
      <c r="J7" s="15">
        <f>SUM(J8:J32)</f>
        <v>93</v>
      </c>
      <c r="K7" s="15">
        <f>SUM(K8:K32)</f>
        <v>0</v>
      </c>
      <c r="L7" s="15">
        <f>SUM(L8:L32)</f>
        <v>4526</v>
      </c>
      <c r="M7" s="15">
        <f>E7+G7+I7+K7</f>
        <v>6914.8</v>
      </c>
      <c r="N7" s="15">
        <f>F7+H7+J7+L7</f>
        <v>11533.8</v>
      </c>
      <c r="O7" s="15">
        <f>N7-M7</f>
        <v>4618.9999999999991</v>
      </c>
      <c r="P7" s="15">
        <f>(N7/M7)*100</f>
        <v>166.79875050616067</v>
      </c>
      <c r="Q7" s="90"/>
    </row>
    <row r="8" spans="1:17" ht="30" customHeight="1">
      <c r="A8" s="107"/>
      <c r="B8" s="217" t="s">
        <v>262</v>
      </c>
      <c r="C8" s="218"/>
      <c r="D8" s="219"/>
      <c r="E8" s="19"/>
      <c r="F8" s="19"/>
      <c r="G8" s="19"/>
      <c r="H8" s="19"/>
      <c r="I8" s="19"/>
      <c r="J8" s="19">
        <v>40</v>
      </c>
      <c r="K8" s="19"/>
      <c r="L8" s="19"/>
      <c r="M8" s="15">
        <f t="shared" ref="M8:M23" si="0">E8+G8+I8+K8</f>
        <v>0</v>
      </c>
      <c r="N8" s="15">
        <f t="shared" ref="N8:N32" si="1">F8+H8+J8+L8</f>
        <v>40</v>
      </c>
      <c r="O8" s="15">
        <f t="shared" ref="O8:O11" si="2">N8-M8</f>
        <v>40</v>
      </c>
      <c r="P8" s="108" t="e">
        <f t="shared" ref="P8:P11" si="3">(N8/M8)*100</f>
        <v>#DIV/0!</v>
      </c>
    </row>
    <row r="9" spans="1:17" ht="28.5" customHeight="1">
      <c r="A9" s="107"/>
      <c r="B9" s="217" t="s">
        <v>263</v>
      </c>
      <c r="C9" s="218"/>
      <c r="D9" s="219"/>
      <c r="E9" s="19"/>
      <c r="F9" s="19"/>
      <c r="G9" s="19"/>
      <c r="H9" s="19"/>
      <c r="I9" s="19"/>
      <c r="J9" s="19"/>
      <c r="K9" s="19"/>
      <c r="L9" s="19">
        <v>30.5</v>
      </c>
      <c r="M9" s="15">
        <f t="shared" si="0"/>
        <v>0</v>
      </c>
      <c r="N9" s="15">
        <f t="shared" si="1"/>
        <v>30.5</v>
      </c>
      <c r="O9" s="15">
        <f t="shared" si="2"/>
        <v>30.5</v>
      </c>
      <c r="P9" s="108" t="e">
        <f t="shared" si="3"/>
        <v>#DIV/0!</v>
      </c>
    </row>
    <row r="10" spans="1:17" ht="45.75" customHeight="1">
      <c r="A10" s="107"/>
      <c r="B10" s="214" t="s">
        <v>261</v>
      </c>
      <c r="C10" s="215"/>
      <c r="D10" s="216"/>
      <c r="E10" s="19"/>
      <c r="F10" s="19"/>
      <c r="G10" s="19"/>
      <c r="H10" s="19"/>
      <c r="I10" s="19"/>
      <c r="J10" s="19"/>
      <c r="K10" s="19"/>
      <c r="L10" s="19">
        <v>258.5</v>
      </c>
      <c r="M10" s="15">
        <f t="shared" si="0"/>
        <v>0</v>
      </c>
      <c r="N10" s="15">
        <f t="shared" si="1"/>
        <v>258.5</v>
      </c>
      <c r="O10" s="15">
        <f t="shared" si="2"/>
        <v>258.5</v>
      </c>
      <c r="P10" s="108" t="e">
        <f t="shared" si="3"/>
        <v>#DIV/0!</v>
      </c>
    </row>
    <row r="11" spans="1:17" ht="27" customHeight="1">
      <c r="A11" s="107"/>
      <c r="B11" s="214" t="s">
        <v>323</v>
      </c>
      <c r="C11" s="215"/>
      <c r="D11" s="216"/>
      <c r="E11" s="19">
        <v>0</v>
      </c>
      <c r="F11" s="19"/>
      <c r="G11" s="19">
        <v>0</v>
      </c>
      <c r="H11" s="19"/>
      <c r="I11" s="19">
        <v>0</v>
      </c>
      <c r="J11" s="19"/>
      <c r="K11" s="19">
        <v>0</v>
      </c>
      <c r="L11" s="19">
        <v>42.1</v>
      </c>
      <c r="M11" s="15">
        <f t="shared" si="0"/>
        <v>0</v>
      </c>
      <c r="N11" s="15">
        <f t="shared" si="1"/>
        <v>42.1</v>
      </c>
      <c r="O11" s="15">
        <f t="shared" si="2"/>
        <v>42.1</v>
      </c>
      <c r="P11" s="108" t="e">
        <f t="shared" si="3"/>
        <v>#DIV/0!</v>
      </c>
    </row>
    <row r="12" spans="1:17" ht="40.5" customHeight="1">
      <c r="A12" s="107"/>
      <c r="B12" s="214" t="s">
        <v>344</v>
      </c>
      <c r="C12" s="215"/>
      <c r="D12" s="216"/>
      <c r="E12" s="19"/>
      <c r="F12" s="19"/>
      <c r="G12" s="19">
        <v>191.8</v>
      </c>
      <c r="H12" s="19">
        <v>191.8</v>
      </c>
      <c r="I12" s="19"/>
      <c r="J12" s="19"/>
      <c r="K12" s="19"/>
      <c r="L12" s="19"/>
      <c r="M12" s="15">
        <f t="shared" si="0"/>
        <v>191.8</v>
      </c>
      <c r="N12" s="15">
        <f t="shared" si="1"/>
        <v>191.8</v>
      </c>
      <c r="O12" s="15">
        <f t="shared" ref="O12" si="4">N12-M12</f>
        <v>0</v>
      </c>
      <c r="P12" s="15">
        <f t="shared" ref="P12" si="5">(N12/M12)*100</f>
        <v>100</v>
      </c>
    </row>
    <row r="13" spans="1:17" ht="45" customHeight="1">
      <c r="A13" s="107"/>
      <c r="B13" s="214" t="s">
        <v>643</v>
      </c>
      <c r="C13" s="215"/>
      <c r="D13" s="216"/>
      <c r="E13" s="19"/>
      <c r="F13" s="19"/>
      <c r="G13" s="19"/>
      <c r="H13" s="19"/>
      <c r="I13" s="19"/>
      <c r="J13" s="19"/>
      <c r="K13" s="19"/>
      <c r="L13" s="19">
        <v>860</v>
      </c>
      <c r="M13" s="15">
        <f t="shared" si="0"/>
        <v>0</v>
      </c>
      <c r="N13" s="15">
        <f t="shared" si="1"/>
        <v>860</v>
      </c>
      <c r="O13" s="15">
        <f t="shared" ref="O13:O76" si="6">N13-M13</f>
        <v>860</v>
      </c>
      <c r="P13" s="108" t="e">
        <f t="shared" ref="P13:P76" si="7">(N13/M13)*100</f>
        <v>#DIV/0!</v>
      </c>
    </row>
    <row r="14" spans="1:17" ht="30.75" customHeight="1">
      <c r="A14" s="107"/>
      <c r="B14" s="214" t="s">
        <v>345</v>
      </c>
      <c r="C14" s="215"/>
      <c r="D14" s="216"/>
      <c r="E14" s="19"/>
      <c r="F14" s="19"/>
      <c r="G14" s="19"/>
      <c r="H14" s="19"/>
      <c r="I14" s="19"/>
      <c r="J14" s="19"/>
      <c r="K14" s="19"/>
      <c r="L14" s="19">
        <v>25.6</v>
      </c>
      <c r="M14" s="15">
        <f t="shared" si="0"/>
        <v>0</v>
      </c>
      <c r="N14" s="15">
        <f t="shared" si="1"/>
        <v>25.6</v>
      </c>
      <c r="O14" s="15">
        <f t="shared" si="6"/>
        <v>25.6</v>
      </c>
      <c r="P14" s="108" t="e">
        <f t="shared" si="7"/>
        <v>#DIV/0!</v>
      </c>
    </row>
    <row r="15" spans="1:17" ht="38.25" customHeight="1">
      <c r="A15" s="107"/>
      <c r="B15" s="214" t="s">
        <v>347</v>
      </c>
      <c r="C15" s="215"/>
      <c r="D15" s="216"/>
      <c r="E15" s="19"/>
      <c r="F15" s="19"/>
      <c r="G15" s="19"/>
      <c r="H15" s="19"/>
      <c r="I15" s="19"/>
      <c r="J15" s="19"/>
      <c r="K15" s="19"/>
      <c r="L15" s="19">
        <v>385.2</v>
      </c>
      <c r="M15" s="15">
        <f t="shared" si="0"/>
        <v>0</v>
      </c>
      <c r="N15" s="15">
        <f t="shared" si="1"/>
        <v>385.2</v>
      </c>
      <c r="O15" s="15">
        <f t="shared" si="6"/>
        <v>385.2</v>
      </c>
      <c r="P15" s="108" t="e">
        <f t="shared" si="7"/>
        <v>#DIV/0!</v>
      </c>
    </row>
    <row r="16" spans="1:17" ht="69" customHeight="1">
      <c r="A16" s="107"/>
      <c r="B16" s="214" t="s">
        <v>346</v>
      </c>
      <c r="C16" s="215"/>
      <c r="D16" s="216"/>
      <c r="E16" s="19"/>
      <c r="F16" s="19"/>
      <c r="G16" s="19"/>
      <c r="H16" s="19"/>
      <c r="I16" s="19"/>
      <c r="J16" s="19"/>
      <c r="K16" s="16"/>
      <c r="L16" s="16">
        <v>593.29999999999995</v>
      </c>
      <c r="M16" s="15">
        <f t="shared" si="0"/>
        <v>0</v>
      </c>
      <c r="N16" s="15">
        <f t="shared" si="1"/>
        <v>593.29999999999995</v>
      </c>
      <c r="O16" s="15">
        <f t="shared" si="6"/>
        <v>593.29999999999995</v>
      </c>
      <c r="P16" s="109" t="e">
        <f t="shared" si="7"/>
        <v>#DIV/0!</v>
      </c>
    </row>
    <row r="17" spans="1:16" ht="67.5" customHeight="1">
      <c r="A17" s="107"/>
      <c r="B17" s="214" t="s">
        <v>411</v>
      </c>
      <c r="C17" s="215"/>
      <c r="D17" s="216"/>
      <c r="E17" s="19"/>
      <c r="F17" s="19"/>
      <c r="G17" s="19">
        <v>217</v>
      </c>
      <c r="H17" s="19">
        <v>217</v>
      </c>
      <c r="I17" s="19"/>
      <c r="J17" s="19"/>
      <c r="K17" s="16"/>
      <c r="L17" s="16"/>
      <c r="M17" s="15">
        <f t="shared" si="0"/>
        <v>217</v>
      </c>
      <c r="N17" s="15">
        <f t="shared" si="1"/>
        <v>217</v>
      </c>
      <c r="O17" s="15">
        <f t="shared" si="6"/>
        <v>0</v>
      </c>
      <c r="P17" s="19">
        <f t="shared" si="7"/>
        <v>100</v>
      </c>
    </row>
    <row r="18" spans="1:16" ht="36.75" customHeight="1">
      <c r="A18" s="107"/>
      <c r="B18" s="214" t="s">
        <v>412</v>
      </c>
      <c r="C18" s="215"/>
      <c r="D18" s="216"/>
      <c r="E18" s="19"/>
      <c r="F18" s="19"/>
      <c r="G18" s="19">
        <v>340</v>
      </c>
      <c r="H18" s="19">
        <v>340</v>
      </c>
      <c r="I18" s="19"/>
      <c r="J18" s="19"/>
      <c r="K18" s="16"/>
      <c r="L18" s="16"/>
      <c r="M18" s="15">
        <f t="shared" si="0"/>
        <v>340</v>
      </c>
      <c r="N18" s="15">
        <f t="shared" si="1"/>
        <v>340</v>
      </c>
      <c r="O18" s="15">
        <f t="shared" si="6"/>
        <v>0</v>
      </c>
      <c r="P18" s="19">
        <f t="shared" si="7"/>
        <v>100</v>
      </c>
    </row>
    <row r="19" spans="1:16" ht="38.25" customHeight="1">
      <c r="A19" s="107"/>
      <c r="B19" s="214" t="s">
        <v>413</v>
      </c>
      <c r="C19" s="215"/>
      <c r="D19" s="216"/>
      <c r="E19" s="19"/>
      <c r="F19" s="19"/>
      <c r="G19" s="19">
        <v>116.8</v>
      </c>
      <c r="H19" s="19">
        <v>116.8</v>
      </c>
      <c r="I19" s="19"/>
      <c r="J19" s="19"/>
      <c r="K19" s="16"/>
      <c r="L19" s="16"/>
      <c r="M19" s="15">
        <f t="shared" si="0"/>
        <v>116.8</v>
      </c>
      <c r="N19" s="15">
        <f t="shared" si="1"/>
        <v>116.8</v>
      </c>
      <c r="O19" s="15">
        <f t="shared" si="6"/>
        <v>0</v>
      </c>
      <c r="P19" s="19">
        <f t="shared" si="7"/>
        <v>100</v>
      </c>
    </row>
    <row r="20" spans="1:16" ht="39.75" customHeight="1">
      <c r="A20" s="107"/>
      <c r="B20" s="214" t="s">
        <v>414</v>
      </c>
      <c r="C20" s="215"/>
      <c r="D20" s="216"/>
      <c r="E20" s="19"/>
      <c r="F20" s="19"/>
      <c r="G20" s="19"/>
      <c r="H20" s="19"/>
      <c r="I20" s="19"/>
      <c r="J20" s="19"/>
      <c r="K20" s="16"/>
      <c r="L20" s="16">
        <v>368.3</v>
      </c>
      <c r="M20" s="15">
        <f t="shared" si="0"/>
        <v>0</v>
      </c>
      <c r="N20" s="15">
        <f t="shared" si="1"/>
        <v>368.3</v>
      </c>
      <c r="O20" s="15">
        <f t="shared" si="6"/>
        <v>368.3</v>
      </c>
      <c r="P20" s="109" t="e">
        <f t="shared" si="7"/>
        <v>#DIV/0!</v>
      </c>
    </row>
    <row r="21" spans="1:16" ht="39.75" customHeight="1">
      <c r="A21" s="107"/>
      <c r="B21" s="214" t="s">
        <v>439</v>
      </c>
      <c r="C21" s="215"/>
      <c r="D21" s="216"/>
      <c r="E21" s="19"/>
      <c r="F21" s="19"/>
      <c r="G21" s="19">
        <v>5148</v>
      </c>
      <c r="H21" s="19">
        <v>5148</v>
      </c>
      <c r="I21" s="19"/>
      <c r="J21" s="19"/>
      <c r="K21" s="16"/>
      <c r="L21" s="16"/>
      <c r="M21" s="15">
        <f t="shared" si="0"/>
        <v>5148</v>
      </c>
      <c r="N21" s="15">
        <f t="shared" si="1"/>
        <v>5148</v>
      </c>
      <c r="O21" s="15">
        <f t="shared" si="6"/>
        <v>0</v>
      </c>
      <c r="P21" s="19">
        <f t="shared" si="7"/>
        <v>100</v>
      </c>
    </row>
    <row r="22" spans="1:16" ht="33.75" customHeight="1">
      <c r="A22" s="107"/>
      <c r="B22" s="214" t="s">
        <v>641</v>
      </c>
      <c r="C22" s="215"/>
      <c r="D22" s="216"/>
      <c r="E22" s="19"/>
      <c r="F22" s="19"/>
      <c r="G22" s="19">
        <v>901.2</v>
      </c>
      <c r="H22" s="19">
        <v>901.2</v>
      </c>
      <c r="I22" s="19"/>
      <c r="J22" s="19"/>
      <c r="K22" s="16"/>
      <c r="L22" s="16"/>
      <c r="M22" s="15">
        <f t="shared" si="0"/>
        <v>901.2</v>
      </c>
      <c r="N22" s="15">
        <f t="shared" si="1"/>
        <v>901.2</v>
      </c>
      <c r="O22" s="15">
        <f t="shared" si="6"/>
        <v>0</v>
      </c>
      <c r="P22" s="19">
        <f t="shared" si="7"/>
        <v>100</v>
      </c>
    </row>
    <row r="23" spans="1:16" ht="26.25" customHeight="1">
      <c r="A23" s="107"/>
      <c r="B23" s="214" t="s">
        <v>440</v>
      </c>
      <c r="C23" s="215"/>
      <c r="D23" s="216"/>
      <c r="E23" s="19"/>
      <c r="F23" s="19"/>
      <c r="G23" s="19"/>
      <c r="H23" s="19"/>
      <c r="I23" s="19"/>
      <c r="J23" s="19"/>
      <c r="K23" s="16"/>
      <c r="L23" s="16">
        <v>40</v>
      </c>
      <c r="M23" s="15">
        <f t="shared" si="0"/>
        <v>0</v>
      </c>
      <c r="N23" s="15">
        <f t="shared" si="1"/>
        <v>40</v>
      </c>
      <c r="O23" s="15">
        <f t="shared" si="6"/>
        <v>40</v>
      </c>
      <c r="P23" s="109" t="e">
        <f t="shared" si="7"/>
        <v>#DIV/0!</v>
      </c>
    </row>
    <row r="24" spans="1:16" ht="43.5" customHeight="1">
      <c r="A24" s="107"/>
      <c r="B24" s="214" t="s">
        <v>597</v>
      </c>
      <c r="C24" s="215"/>
      <c r="D24" s="216"/>
      <c r="E24" s="19"/>
      <c r="F24" s="19"/>
      <c r="G24" s="19"/>
      <c r="H24" s="19"/>
      <c r="I24" s="19"/>
      <c r="J24" s="19"/>
      <c r="K24" s="16"/>
      <c r="L24" s="16">
        <v>25.9</v>
      </c>
      <c r="M24" s="15"/>
      <c r="N24" s="15">
        <f t="shared" si="1"/>
        <v>25.9</v>
      </c>
      <c r="O24" s="15">
        <f t="shared" si="6"/>
        <v>25.9</v>
      </c>
      <c r="P24" s="109" t="e">
        <f t="shared" si="7"/>
        <v>#DIV/0!</v>
      </c>
    </row>
    <row r="25" spans="1:16" ht="42.75" customHeight="1">
      <c r="A25" s="107"/>
      <c r="B25" s="225" t="s">
        <v>598</v>
      </c>
      <c r="C25" s="226"/>
      <c r="D25" s="227"/>
      <c r="E25" s="19"/>
      <c r="F25" s="19"/>
      <c r="G25" s="19"/>
      <c r="H25" s="19"/>
      <c r="I25" s="19"/>
      <c r="J25" s="19"/>
      <c r="K25" s="16"/>
      <c r="L25" s="16">
        <v>113.6</v>
      </c>
      <c r="M25" s="15"/>
      <c r="N25" s="15">
        <f t="shared" si="1"/>
        <v>113.6</v>
      </c>
      <c r="O25" s="15">
        <f t="shared" si="6"/>
        <v>113.6</v>
      </c>
      <c r="P25" s="109" t="e">
        <f t="shared" si="7"/>
        <v>#DIV/0!</v>
      </c>
    </row>
    <row r="26" spans="1:16" ht="31.5" customHeight="1">
      <c r="A26" s="107"/>
      <c r="B26" s="214" t="s">
        <v>599</v>
      </c>
      <c r="C26" s="215"/>
      <c r="D26" s="216"/>
      <c r="E26" s="19"/>
      <c r="F26" s="19"/>
      <c r="G26" s="19"/>
      <c r="H26" s="19"/>
      <c r="I26" s="19"/>
      <c r="J26" s="19"/>
      <c r="K26" s="16"/>
      <c r="L26" s="16">
        <v>590</v>
      </c>
      <c r="M26" s="15"/>
      <c r="N26" s="15">
        <f t="shared" si="1"/>
        <v>590</v>
      </c>
      <c r="O26" s="15">
        <f t="shared" si="6"/>
        <v>590</v>
      </c>
      <c r="P26" s="109" t="e">
        <f t="shared" si="7"/>
        <v>#DIV/0!</v>
      </c>
    </row>
    <row r="27" spans="1:16" ht="37.5" customHeight="1">
      <c r="A27" s="107"/>
      <c r="B27" s="214" t="s">
        <v>600</v>
      </c>
      <c r="C27" s="215"/>
      <c r="D27" s="216"/>
      <c r="E27" s="19"/>
      <c r="F27" s="19"/>
      <c r="G27" s="19"/>
      <c r="H27" s="19"/>
      <c r="I27" s="19"/>
      <c r="J27" s="19"/>
      <c r="K27" s="16"/>
      <c r="L27" s="16">
        <v>688.5</v>
      </c>
      <c r="M27" s="15"/>
      <c r="N27" s="15">
        <f t="shared" si="1"/>
        <v>688.5</v>
      </c>
      <c r="O27" s="15">
        <f t="shared" si="6"/>
        <v>688.5</v>
      </c>
      <c r="P27" s="109" t="e">
        <f t="shared" si="7"/>
        <v>#DIV/0!</v>
      </c>
    </row>
    <row r="28" spans="1:16" ht="43.5" customHeight="1">
      <c r="A28" s="107"/>
      <c r="B28" s="214" t="s">
        <v>601</v>
      </c>
      <c r="C28" s="215"/>
      <c r="D28" s="216"/>
      <c r="E28" s="19"/>
      <c r="F28" s="19"/>
      <c r="G28" s="19"/>
      <c r="H28" s="19"/>
      <c r="I28" s="19"/>
      <c r="J28" s="19"/>
      <c r="K28" s="16"/>
      <c r="L28" s="16">
        <v>231.2</v>
      </c>
      <c r="M28" s="15"/>
      <c r="N28" s="15">
        <f t="shared" si="1"/>
        <v>231.2</v>
      </c>
      <c r="O28" s="15">
        <f t="shared" si="6"/>
        <v>231.2</v>
      </c>
      <c r="P28" s="109" t="e">
        <f t="shared" si="7"/>
        <v>#DIV/0!</v>
      </c>
    </row>
    <row r="29" spans="1:16" ht="30" customHeight="1">
      <c r="A29" s="107"/>
      <c r="B29" s="214" t="s">
        <v>602</v>
      </c>
      <c r="C29" s="215"/>
      <c r="D29" s="216"/>
      <c r="E29" s="19"/>
      <c r="F29" s="19"/>
      <c r="G29" s="19"/>
      <c r="H29" s="19"/>
      <c r="I29" s="19"/>
      <c r="J29" s="19"/>
      <c r="K29" s="16"/>
      <c r="L29" s="16">
        <v>141</v>
      </c>
      <c r="M29" s="15"/>
      <c r="N29" s="15">
        <f t="shared" si="1"/>
        <v>141</v>
      </c>
      <c r="O29" s="15">
        <f t="shared" si="6"/>
        <v>141</v>
      </c>
      <c r="P29" s="109" t="e">
        <f t="shared" si="7"/>
        <v>#DIV/0!</v>
      </c>
    </row>
    <row r="30" spans="1:16" ht="41.25" customHeight="1">
      <c r="A30" s="107"/>
      <c r="B30" s="214" t="s">
        <v>603</v>
      </c>
      <c r="C30" s="215"/>
      <c r="D30" s="216"/>
      <c r="E30" s="19"/>
      <c r="F30" s="19"/>
      <c r="G30" s="19"/>
      <c r="H30" s="19"/>
      <c r="I30" s="19"/>
      <c r="J30" s="19"/>
      <c r="K30" s="16"/>
      <c r="L30" s="16">
        <v>97.8</v>
      </c>
      <c r="M30" s="15"/>
      <c r="N30" s="15">
        <f t="shared" si="1"/>
        <v>97.8</v>
      </c>
      <c r="O30" s="15">
        <f t="shared" si="6"/>
        <v>97.8</v>
      </c>
      <c r="P30" s="109" t="e">
        <f t="shared" si="7"/>
        <v>#DIV/0!</v>
      </c>
    </row>
    <row r="31" spans="1:16" ht="27.75" customHeight="1">
      <c r="A31" s="107"/>
      <c r="B31" s="214" t="s">
        <v>604</v>
      </c>
      <c r="C31" s="215"/>
      <c r="D31" s="216"/>
      <c r="E31" s="19"/>
      <c r="F31" s="19"/>
      <c r="G31" s="19"/>
      <c r="H31" s="19"/>
      <c r="I31" s="19"/>
      <c r="J31" s="19"/>
      <c r="K31" s="16"/>
      <c r="L31" s="16">
        <v>34.5</v>
      </c>
      <c r="M31" s="15"/>
      <c r="N31" s="15">
        <f t="shared" si="1"/>
        <v>34.5</v>
      </c>
      <c r="O31" s="15">
        <f t="shared" si="6"/>
        <v>34.5</v>
      </c>
      <c r="P31" s="109" t="e">
        <f t="shared" si="7"/>
        <v>#DIV/0!</v>
      </c>
    </row>
    <row r="32" spans="1:16" ht="60.75" customHeight="1">
      <c r="A32" s="107"/>
      <c r="B32" s="214" t="s">
        <v>605</v>
      </c>
      <c r="C32" s="215"/>
      <c r="D32" s="216"/>
      <c r="E32" s="19"/>
      <c r="F32" s="19"/>
      <c r="G32" s="19"/>
      <c r="H32" s="19"/>
      <c r="I32" s="19"/>
      <c r="J32" s="19">
        <v>53</v>
      </c>
      <c r="K32" s="16"/>
      <c r="L32" s="16"/>
      <c r="M32" s="15"/>
      <c r="N32" s="15">
        <f t="shared" si="1"/>
        <v>53</v>
      </c>
      <c r="O32" s="15">
        <f t="shared" si="6"/>
        <v>53</v>
      </c>
      <c r="P32" s="109" t="e">
        <f t="shared" si="7"/>
        <v>#DIV/0!</v>
      </c>
    </row>
    <row r="33" spans="1:16" ht="79.5" customHeight="1">
      <c r="A33" s="107" t="s">
        <v>94</v>
      </c>
      <c r="B33" s="220" t="s">
        <v>97</v>
      </c>
      <c r="C33" s="221"/>
      <c r="D33" s="221"/>
      <c r="E33" s="15">
        <f>SUM(E52:E104)</f>
        <v>0</v>
      </c>
      <c r="F33" s="15">
        <f>SUM(F52:F104)</f>
        <v>0</v>
      </c>
      <c r="G33" s="15">
        <f>SUM(G34:G104)</f>
        <v>0</v>
      </c>
      <c r="H33" s="15">
        <f t="shared" ref="H33:M33" si="8">SUM(H34:H104)</f>
        <v>114.5</v>
      </c>
      <c r="I33" s="15">
        <f t="shared" si="8"/>
        <v>0</v>
      </c>
      <c r="J33" s="15">
        <f t="shared" si="8"/>
        <v>349.90000000000003</v>
      </c>
      <c r="K33" s="15">
        <f t="shared" si="8"/>
        <v>0</v>
      </c>
      <c r="L33" s="15">
        <f t="shared" si="8"/>
        <v>668.79999999999984</v>
      </c>
      <c r="M33" s="15">
        <f t="shared" si="8"/>
        <v>0</v>
      </c>
      <c r="N33" s="15">
        <f>F33+H33+J33+L33</f>
        <v>1133.1999999999998</v>
      </c>
      <c r="O33" s="15">
        <f t="shared" si="6"/>
        <v>1133.1999999999998</v>
      </c>
      <c r="P33" s="108" t="e">
        <f t="shared" si="7"/>
        <v>#DIV/0!</v>
      </c>
    </row>
    <row r="34" spans="1:16" ht="33" customHeight="1">
      <c r="A34" s="107"/>
      <c r="B34" s="217" t="s">
        <v>264</v>
      </c>
      <c r="C34" s="218"/>
      <c r="D34" s="219"/>
      <c r="E34" s="15"/>
      <c r="F34" s="15"/>
      <c r="G34" s="15"/>
      <c r="H34" s="15"/>
      <c r="I34" s="15"/>
      <c r="J34" s="19">
        <v>1.6</v>
      </c>
      <c r="K34" s="19"/>
      <c r="L34" s="19"/>
      <c r="M34" s="19"/>
      <c r="N34" s="15">
        <f t="shared" ref="N34:N51" si="9">F34+H34+J34+L34</f>
        <v>1.6</v>
      </c>
      <c r="O34" s="15">
        <f t="shared" si="6"/>
        <v>1.6</v>
      </c>
      <c r="P34" s="108" t="e">
        <f t="shared" si="7"/>
        <v>#DIV/0!</v>
      </c>
    </row>
    <row r="35" spans="1:16" ht="33" customHeight="1">
      <c r="A35" s="107"/>
      <c r="B35" s="171" t="s">
        <v>417</v>
      </c>
      <c r="C35" s="201"/>
      <c r="D35" s="201"/>
      <c r="E35" s="15"/>
      <c r="F35" s="15"/>
      <c r="G35" s="15"/>
      <c r="H35" s="15"/>
      <c r="I35" s="15"/>
      <c r="J35" s="19"/>
      <c r="K35" s="19"/>
      <c r="L35" s="19">
        <v>2.2000000000000002</v>
      </c>
      <c r="M35" s="19"/>
      <c r="N35" s="15">
        <f t="shared" si="9"/>
        <v>2.2000000000000002</v>
      </c>
      <c r="O35" s="15">
        <f t="shared" si="6"/>
        <v>2.2000000000000002</v>
      </c>
      <c r="P35" s="108" t="e">
        <f t="shared" si="7"/>
        <v>#DIV/0!</v>
      </c>
    </row>
    <row r="36" spans="1:16" ht="42" customHeight="1">
      <c r="A36" s="107"/>
      <c r="B36" s="214" t="s">
        <v>418</v>
      </c>
      <c r="C36" s="215"/>
      <c r="D36" s="216"/>
      <c r="E36" s="15"/>
      <c r="F36" s="15"/>
      <c r="G36" s="15"/>
      <c r="H36" s="15"/>
      <c r="I36" s="15"/>
      <c r="J36" s="19"/>
      <c r="K36" s="19"/>
      <c r="L36" s="19">
        <v>2</v>
      </c>
      <c r="M36" s="19"/>
      <c r="N36" s="15">
        <f t="shared" si="9"/>
        <v>2</v>
      </c>
      <c r="O36" s="15">
        <f t="shared" si="6"/>
        <v>2</v>
      </c>
      <c r="P36" s="108" t="e">
        <f t="shared" si="7"/>
        <v>#DIV/0!</v>
      </c>
    </row>
    <row r="37" spans="1:16" ht="33" customHeight="1">
      <c r="A37" s="107"/>
      <c r="B37" s="171" t="s">
        <v>645</v>
      </c>
      <c r="C37" s="201"/>
      <c r="D37" s="201"/>
      <c r="E37" s="15"/>
      <c r="F37" s="15"/>
      <c r="G37" s="15"/>
      <c r="H37" s="15"/>
      <c r="I37" s="15"/>
      <c r="J37" s="19"/>
      <c r="K37" s="19"/>
      <c r="L37" s="19">
        <v>4.0999999999999996</v>
      </c>
      <c r="M37" s="19"/>
      <c r="N37" s="15">
        <f t="shared" si="9"/>
        <v>4.0999999999999996</v>
      </c>
      <c r="O37" s="15">
        <f t="shared" si="6"/>
        <v>4.0999999999999996</v>
      </c>
      <c r="P37" s="108" t="e">
        <f t="shared" si="7"/>
        <v>#DIV/0!</v>
      </c>
    </row>
    <row r="38" spans="1:16" ht="30.75" customHeight="1">
      <c r="A38" s="107"/>
      <c r="B38" s="214" t="s">
        <v>608</v>
      </c>
      <c r="C38" s="215"/>
      <c r="D38" s="216"/>
      <c r="E38" s="15"/>
      <c r="F38" s="15"/>
      <c r="G38" s="15"/>
      <c r="H38" s="15"/>
      <c r="I38" s="15"/>
      <c r="J38" s="19"/>
      <c r="K38" s="19"/>
      <c r="L38" s="19">
        <v>5</v>
      </c>
      <c r="M38" s="19"/>
      <c r="N38" s="15">
        <f t="shared" si="9"/>
        <v>5</v>
      </c>
      <c r="O38" s="15">
        <f t="shared" si="6"/>
        <v>5</v>
      </c>
      <c r="P38" s="108" t="e">
        <f t="shared" si="7"/>
        <v>#DIV/0!</v>
      </c>
    </row>
    <row r="39" spans="1:16" ht="42" customHeight="1">
      <c r="A39" s="107"/>
      <c r="B39" s="214" t="s">
        <v>419</v>
      </c>
      <c r="C39" s="215"/>
      <c r="D39" s="216"/>
      <c r="E39" s="15"/>
      <c r="F39" s="15"/>
      <c r="G39" s="15"/>
      <c r="H39" s="15"/>
      <c r="I39" s="15"/>
      <c r="J39" s="19">
        <v>11.2</v>
      </c>
      <c r="K39" s="19"/>
      <c r="L39" s="19"/>
      <c r="M39" s="19"/>
      <c r="N39" s="15">
        <f t="shared" si="9"/>
        <v>11.2</v>
      </c>
      <c r="O39" s="15">
        <f t="shared" si="6"/>
        <v>11.2</v>
      </c>
      <c r="P39" s="108" t="e">
        <f t="shared" si="7"/>
        <v>#DIV/0!</v>
      </c>
    </row>
    <row r="40" spans="1:16" ht="42.75" customHeight="1">
      <c r="A40" s="107"/>
      <c r="B40" s="214" t="s">
        <v>420</v>
      </c>
      <c r="C40" s="215"/>
      <c r="D40" s="216"/>
      <c r="E40" s="15"/>
      <c r="F40" s="15"/>
      <c r="G40" s="15"/>
      <c r="H40" s="15"/>
      <c r="I40" s="15"/>
      <c r="J40" s="19">
        <v>2.5</v>
      </c>
      <c r="K40" s="19"/>
      <c r="L40" s="19"/>
      <c r="M40" s="19"/>
      <c r="N40" s="15">
        <f t="shared" si="9"/>
        <v>2.5</v>
      </c>
      <c r="O40" s="15">
        <f t="shared" si="6"/>
        <v>2.5</v>
      </c>
      <c r="P40" s="108" t="e">
        <f t="shared" si="7"/>
        <v>#DIV/0!</v>
      </c>
    </row>
    <row r="41" spans="1:16" ht="45.75" customHeight="1">
      <c r="A41" s="107"/>
      <c r="B41" s="214" t="s">
        <v>421</v>
      </c>
      <c r="C41" s="215"/>
      <c r="D41" s="216"/>
      <c r="E41" s="15"/>
      <c r="F41" s="15"/>
      <c r="G41" s="15"/>
      <c r="H41" s="15"/>
      <c r="I41" s="15"/>
      <c r="J41" s="19">
        <v>0.9</v>
      </c>
      <c r="K41" s="19"/>
      <c r="L41" s="19"/>
      <c r="M41" s="19"/>
      <c r="N41" s="15">
        <f t="shared" si="9"/>
        <v>0.9</v>
      </c>
      <c r="O41" s="15">
        <f t="shared" si="6"/>
        <v>0.9</v>
      </c>
      <c r="P41" s="108" t="e">
        <f t="shared" si="7"/>
        <v>#DIV/0!</v>
      </c>
    </row>
    <row r="42" spans="1:16" ht="45.75" customHeight="1">
      <c r="A42" s="107"/>
      <c r="B42" s="214" t="s">
        <v>422</v>
      </c>
      <c r="C42" s="215"/>
      <c r="D42" s="216"/>
      <c r="E42" s="15"/>
      <c r="F42" s="15"/>
      <c r="G42" s="15"/>
      <c r="H42" s="15"/>
      <c r="I42" s="15"/>
      <c r="J42" s="19">
        <v>1.3</v>
      </c>
      <c r="K42" s="19"/>
      <c r="L42" s="19"/>
      <c r="M42" s="19"/>
      <c r="N42" s="15">
        <f t="shared" si="9"/>
        <v>1.3</v>
      </c>
      <c r="O42" s="15">
        <f t="shared" si="6"/>
        <v>1.3</v>
      </c>
      <c r="P42" s="108" t="e">
        <f t="shared" si="7"/>
        <v>#DIV/0!</v>
      </c>
    </row>
    <row r="43" spans="1:16" ht="30.75" customHeight="1">
      <c r="A43" s="107"/>
      <c r="B43" s="214" t="s">
        <v>609</v>
      </c>
      <c r="C43" s="215"/>
      <c r="D43" s="216"/>
      <c r="E43" s="15"/>
      <c r="F43" s="15"/>
      <c r="G43" s="15"/>
      <c r="H43" s="15"/>
      <c r="I43" s="15"/>
      <c r="J43" s="19">
        <v>0.5</v>
      </c>
      <c r="K43" s="19"/>
      <c r="L43" s="19"/>
      <c r="M43" s="19"/>
      <c r="N43" s="15">
        <f t="shared" si="9"/>
        <v>0.5</v>
      </c>
      <c r="O43" s="15">
        <f t="shared" si="6"/>
        <v>0.5</v>
      </c>
      <c r="P43" s="108" t="e">
        <f t="shared" si="7"/>
        <v>#DIV/0!</v>
      </c>
    </row>
    <row r="44" spans="1:16" ht="39.75" customHeight="1">
      <c r="A44" s="107"/>
      <c r="B44" s="214" t="s">
        <v>423</v>
      </c>
      <c r="C44" s="215"/>
      <c r="D44" s="216"/>
      <c r="E44" s="15"/>
      <c r="F44" s="15"/>
      <c r="G44" s="15"/>
      <c r="H44" s="15"/>
      <c r="I44" s="15"/>
      <c r="J44" s="19">
        <v>1.8</v>
      </c>
      <c r="K44" s="19"/>
      <c r="L44" s="19"/>
      <c r="M44" s="19"/>
      <c r="N44" s="15">
        <f t="shared" si="9"/>
        <v>1.8</v>
      </c>
      <c r="O44" s="15">
        <f t="shared" si="6"/>
        <v>1.8</v>
      </c>
      <c r="P44" s="108" t="e">
        <f t="shared" si="7"/>
        <v>#DIV/0!</v>
      </c>
    </row>
    <row r="45" spans="1:16" ht="36" customHeight="1">
      <c r="A45" s="107"/>
      <c r="B45" s="171" t="s">
        <v>644</v>
      </c>
      <c r="C45" s="201"/>
      <c r="D45" s="201"/>
      <c r="E45" s="15"/>
      <c r="F45" s="15"/>
      <c r="G45" s="15"/>
      <c r="H45" s="15"/>
      <c r="I45" s="15"/>
      <c r="J45" s="19"/>
      <c r="K45" s="19"/>
      <c r="L45" s="19">
        <v>24</v>
      </c>
      <c r="M45" s="19"/>
      <c r="N45" s="15">
        <f t="shared" si="9"/>
        <v>24</v>
      </c>
      <c r="O45" s="15">
        <f t="shared" si="6"/>
        <v>24</v>
      </c>
      <c r="P45" s="108" t="e">
        <f t="shared" si="7"/>
        <v>#DIV/0!</v>
      </c>
    </row>
    <row r="46" spans="1:16" ht="33.75" customHeight="1">
      <c r="A46" s="107"/>
      <c r="B46" s="171" t="s">
        <v>424</v>
      </c>
      <c r="C46" s="201"/>
      <c r="D46" s="201"/>
      <c r="E46" s="15"/>
      <c r="F46" s="15"/>
      <c r="G46" s="15"/>
      <c r="H46" s="15"/>
      <c r="I46" s="15"/>
      <c r="J46" s="19">
        <v>16.600000000000001</v>
      </c>
      <c r="K46" s="19"/>
      <c r="L46" s="19"/>
      <c r="M46" s="19"/>
      <c r="N46" s="15">
        <f t="shared" si="9"/>
        <v>16.600000000000001</v>
      </c>
      <c r="O46" s="15">
        <f t="shared" si="6"/>
        <v>16.600000000000001</v>
      </c>
      <c r="P46" s="108" t="e">
        <f t="shared" si="7"/>
        <v>#DIV/0!</v>
      </c>
    </row>
    <row r="47" spans="1:16" ht="32.25" customHeight="1">
      <c r="A47" s="107"/>
      <c r="B47" s="217" t="s">
        <v>646</v>
      </c>
      <c r="C47" s="218"/>
      <c r="D47" s="219"/>
      <c r="E47" s="15"/>
      <c r="F47" s="15"/>
      <c r="G47" s="15"/>
      <c r="H47" s="15"/>
      <c r="I47" s="15"/>
      <c r="J47" s="19"/>
      <c r="K47" s="19"/>
      <c r="L47" s="19">
        <v>20.100000000000001</v>
      </c>
      <c r="M47" s="19"/>
      <c r="N47" s="15">
        <f t="shared" si="9"/>
        <v>20.100000000000001</v>
      </c>
      <c r="O47" s="15">
        <f t="shared" si="6"/>
        <v>20.100000000000001</v>
      </c>
      <c r="P47" s="108" t="e">
        <f t="shared" si="7"/>
        <v>#DIV/0!</v>
      </c>
    </row>
    <row r="48" spans="1:16" ht="32.25" customHeight="1">
      <c r="A48" s="107"/>
      <c r="B48" s="217" t="s">
        <v>425</v>
      </c>
      <c r="C48" s="218"/>
      <c r="D48" s="219"/>
      <c r="E48" s="15"/>
      <c r="F48" s="15"/>
      <c r="G48" s="15"/>
      <c r="H48" s="15"/>
      <c r="I48" s="15"/>
      <c r="J48" s="19"/>
      <c r="K48" s="19"/>
      <c r="L48" s="19">
        <v>29.8</v>
      </c>
      <c r="M48" s="19"/>
      <c r="N48" s="15">
        <f t="shared" si="9"/>
        <v>29.8</v>
      </c>
      <c r="O48" s="15">
        <f t="shared" si="6"/>
        <v>29.8</v>
      </c>
      <c r="P48" s="108" t="e">
        <f t="shared" si="7"/>
        <v>#DIV/0!</v>
      </c>
    </row>
    <row r="49" spans="1:16" ht="30.75" customHeight="1">
      <c r="A49" s="107"/>
      <c r="B49" s="214" t="s">
        <v>640</v>
      </c>
      <c r="C49" s="215"/>
      <c r="D49" s="216"/>
      <c r="E49" s="15"/>
      <c r="F49" s="15"/>
      <c r="G49" s="15"/>
      <c r="H49" s="15"/>
      <c r="I49" s="15"/>
      <c r="J49" s="19">
        <v>40.200000000000003</v>
      </c>
      <c r="K49" s="19"/>
      <c r="L49" s="19"/>
      <c r="M49" s="19"/>
      <c r="N49" s="15">
        <f t="shared" si="9"/>
        <v>40.200000000000003</v>
      </c>
      <c r="O49" s="15">
        <f t="shared" si="6"/>
        <v>40.200000000000003</v>
      </c>
      <c r="P49" s="108" t="e">
        <f t="shared" si="7"/>
        <v>#DIV/0!</v>
      </c>
    </row>
    <row r="50" spans="1:16" ht="30" customHeight="1">
      <c r="A50" s="107"/>
      <c r="B50" s="214" t="s">
        <v>719</v>
      </c>
      <c r="C50" s="215"/>
      <c r="D50" s="216"/>
      <c r="E50" s="15"/>
      <c r="F50" s="15"/>
      <c r="G50" s="15"/>
      <c r="H50" s="15"/>
      <c r="I50" s="15"/>
      <c r="J50" s="19"/>
      <c r="K50" s="19"/>
      <c r="L50" s="19">
        <v>10</v>
      </c>
      <c r="M50" s="19"/>
      <c r="N50" s="15">
        <f t="shared" si="9"/>
        <v>10</v>
      </c>
      <c r="O50" s="15">
        <f t="shared" si="6"/>
        <v>10</v>
      </c>
      <c r="P50" s="108" t="e">
        <f t="shared" si="7"/>
        <v>#DIV/0!</v>
      </c>
    </row>
    <row r="51" spans="1:16" ht="28.5" customHeight="1">
      <c r="A51" s="107"/>
      <c r="B51" s="217" t="s">
        <v>265</v>
      </c>
      <c r="C51" s="218"/>
      <c r="D51" s="219"/>
      <c r="E51" s="15"/>
      <c r="F51" s="15"/>
      <c r="G51" s="15"/>
      <c r="H51" s="15"/>
      <c r="I51" s="15"/>
      <c r="J51" s="19"/>
      <c r="K51" s="19"/>
      <c r="L51" s="19">
        <v>0.2</v>
      </c>
      <c r="M51" s="19"/>
      <c r="N51" s="15">
        <f t="shared" si="9"/>
        <v>0.2</v>
      </c>
      <c r="O51" s="15">
        <f t="shared" si="6"/>
        <v>0.2</v>
      </c>
      <c r="P51" s="108" t="e">
        <f t="shared" si="7"/>
        <v>#DIV/0!</v>
      </c>
    </row>
    <row r="52" spans="1:16" ht="27.75" customHeight="1">
      <c r="A52" s="107"/>
      <c r="B52" s="217" t="s">
        <v>427</v>
      </c>
      <c r="C52" s="218"/>
      <c r="D52" s="219"/>
      <c r="E52" s="15"/>
      <c r="F52" s="15"/>
      <c r="G52" s="15"/>
      <c r="H52" s="15"/>
      <c r="I52" s="15"/>
      <c r="J52" s="19"/>
      <c r="K52" s="16"/>
      <c r="L52" s="16">
        <v>31.9</v>
      </c>
      <c r="M52" s="19">
        <f t="shared" ref="M52:M104" si="10">E52+G52+I52+K52</f>
        <v>0</v>
      </c>
      <c r="N52" s="15">
        <f t="shared" ref="N52:N104" si="11">F52+H52+J52+L52</f>
        <v>31.9</v>
      </c>
      <c r="O52" s="15">
        <f t="shared" si="6"/>
        <v>31.9</v>
      </c>
      <c r="P52" s="108" t="e">
        <f t="shared" si="7"/>
        <v>#DIV/0!</v>
      </c>
    </row>
    <row r="53" spans="1:16" ht="27.75" customHeight="1">
      <c r="A53" s="107"/>
      <c r="B53" s="217" t="s">
        <v>348</v>
      </c>
      <c r="C53" s="218"/>
      <c r="D53" s="219"/>
      <c r="E53" s="15"/>
      <c r="F53" s="15"/>
      <c r="G53" s="15"/>
      <c r="H53" s="15"/>
      <c r="I53" s="15"/>
      <c r="J53" s="19"/>
      <c r="K53" s="16"/>
      <c r="L53" s="16">
        <v>2.1</v>
      </c>
      <c r="M53" s="15">
        <f t="shared" si="10"/>
        <v>0</v>
      </c>
      <c r="N53" s="15">
        <f t="shared" si="11"/>
        <v>2.1</v>
      </c>
      <c r="O53" s="15">
        <f t="shared" si="6"/>
        <v>2.1</v>
      </c>
      <c r="P53" s="108" t="e">
        <f t="shared" si="7"/>
        <v>#DIV/0!</v>
      </c>
    </row>
    <row r="54" spans="1:16" ht="56.25" customHeight="1">
      <c r="A54" s="107"/>
      <c r="B54" s="214" t="s">
        <v>428</v>
      </c>
      <c r="C54" s="215"/>
      <c r="D54" s="216"/>
      <c r="E54" s="15"/>
      <c r="F54" s="15"/>
      <c r="G54" s="15"/>
      <c r="H54" s="15"/>
      <c r="I54" s="15"/>
      <c r="J54" s="19"/>
      <c r="K54" s="16"/>
      <c r="L54" s="16">
        <v>31.5</v>
      </c>
      <c r="M54" s="15">
        <f t="shared" si="10"/>
        <v>0</v>
      </c>
      <c r="N54" s="15">
        <f t="shared" si="11"/>
        <v>31.5</v>
      </c>
      <c r="O54" s="15">
        <f t="shared" si="6"/>
        <v>31.5</v>
      </c>
      <c r="P54" s="108" t="e">
        <f t="shared" si="7"/>
        <v>#DIV/0!</v>
      </c>
    </row>
    <row r="55" spans="1:16" ht="39" customHeight="1">
      <c r="A55" s="107"/>
      <c r="B55" s="214" t="s">
        <v>429</v>
      </c>
      <c r="C55" s="215"/>
      <c r="D55" s="216"/>
      <c r="E55" s="15"/>
      <c r="F55" s="15"/>
      <c r="G55" s="15"/>
      <c r="H55" s="15"/>
      <c r="I55" s="15"/>
      <c r="J55" s="19"/>
      <c r="K55" s="16"/>
      <c r="L55" s="16">
        <v>32.4</v>
      </c>
      <c r="M55" s="15">
        <f t="shared" si="10"/>
        <v>0</v>
      </c>
      <c r="N55" s="15">
        <f t="shared" si="11"/>
        <v>32.4</v>
      </c>
      <c r="O55" s="15">
        <f t="shared" si="6"/>
        <v>32.4</v>
      </c>
      <c r="P55" s="108" t="e">
        <f t="shared" si="7"/>
        <v>#DIV/0!</v>
      </c>
    </row>
    <row r="56" spans="1:16" ht="30" customHeight="1">
      <c r="A56" s="107"/>
      <c r="B56" s="171" t="s">
        <v>430</v>
      </c>
      <c r="C56" s="171"/>
      <c r="D56" s="171"/>
      <c r="E56" s="15"/>
      <c r="F56" s="15"/>
      <c r="G56" s="15"/>
      <c r="H56" s="15"/>
      <c r="I56" s="15"/>
      <c r="J56" s="19"/>
      <c r="K56" s="16"/>
      <c r="L56" s="16">
        <v>41</v>
      </c>
      <c r="M56" s="15">
        <f t="shared" si="10"/>
        <v>0</v>
      </c>
      <c r="N56" s="15">
        <f t="shared" si="11"/>
        <v>41</v>
      </c>
      <c r="O56" s="15">
        <f t="shared" si="6"/>
        <v>41</v>
      </c>
      <c r="P56" s="108" t="e">
        <f t="shared" si="7"/>
        <v>#DIV/0!</v>
      </c>
    </row>
    <row r="57" spans="1:16" ht="23.25" customHeight="1">
      <c r="A57" s="107"/>
      <c r="B57" s="217" t="s">
        <v>647</v>
      </c>
      <c r="C57" s="218"/>
      <c r="D57" s="219"/>
      <c r="E57" s="15"/>
      <c r="F57" s="15"/>
      <c r="G57" s="15"/>
      <c r="H57" s="15"/>
      <c r="I57" s="15"/>
      <c r="J57" s="19"/>
      <c r="K57" s="16"/>
      <c r="L57" s="16">
        <v>8.1999999999999993</v>
      </c>
      <c r="M57" s="15">
        <f t="shared" si="10"/>
        <v>0</v>
      </c>
      <c r="N57" s="15">
        <f t="shared" si="11"/>
        <v>8.1999999999999993</v>
      </c>
      <c r="O57" s="15">
        <f t="shared" si="6"/>
        <v>8.1999999999999993</v>
      </c>
      <c r="P57" s="108" t="e">
        <f t="shared" si="7"/>
        <v>#DIV/0!</v>
      </c>
    </row>
    <row r="58" spans="1:16" ht="39" customHeight="1">
      <c r="A58" s="107"/>
      <c r="B58" s="214" t="s">
        <v>431</v>
      </c>
      <c r="C58" s="215"/>
      <c r="D58" s="216"/>
      <c r="E58" s="15"/>
      <c r="F58" s="15"/>
      <c r="G58" s="15"/>
      <c r="H58" s="15"/>
      <c r="I58" s="15"/>
      <c r="J58" s="19"/>
      <c r="K58" s="16"/>
      <c r="L58" s="16">
        <v>27.3</v>
      </c>
      <c r="M58" s="15">
        <f t="shared" si="10"/>
        <v>0</v>
      </c>
      <c r="N58" s="15">
        <f t="shared" si="11"/>
        <v>27.3</v>
      </c>
      <c r="O58" s="15">
        <f t="shared" si="6"/>
        <v>27.3</v>
      </c>
      <c r="P58" s="108" t="e">
        <f t="shared" si="7"/>
        <v>#DIV/0!</v>
      </c>
    </row>
    <row r="59" spans="1:16" ht="39" customHeight="1">
      <c r="A59" s="107"/>
      <c r="B59" s="214" t="s">
        <v>648</v>
      </c>
      <c r="C59" s="215"/>
      <c r="D59" s="216"/>
      <c r="E59" s="15"/>
      <c r="F59" s="15"/>
      <c r="G59" s="15"/>
      <c r="H59" s="15"/>
      <c r="I59" s="15"/>
      <c r="J59" s="19"/>
      <c r="K59" s="16"/>
      <c r="L59" s="16">
        <v>44.3</v>
      </c>
      <c r="M59" s="15">
        <f t="shared" si="10"/>
        <v>0</v>
      </c>
      <c r="N59" s="15">
        <f t="shared" si="11"/>
        <v>44.3</v>
      </c>
      <c r="O59" s="15">
        <f t="shared" si="6"/>
        <v>44.3</v>
      </c>
      <c r="P59" s="108" t="e">
        <f t="shared" si="7"/>
        <v>#DIV/0!</v>
      </c>
    </row>
    <row r="60" spans="1:16" ht="35.25" customHeight="1">
      <c r="A60" s="107"/>
      <c r="B60" s="214" t="s">
        <v>432</v>
      </c>
      <c r="C60" s="215"/>
      <c r="D60" s="216"/>
      <c r="E60" s="15"/>
      <c r="F60" s="15"/>
      <c r="G60" s="15"/>
      <c r="H60" s="15"/>
      <c r="I60" s="15"/>
      <c r="J60" s="19"/>
      <c r="K60" s="16"/>
      <c r="L60" s="16">
        <v>7.7</v>
      </c>
      <c r="M60" s="15">
        <f t="shared" si="10"/>
        <v>0</v>
      </c>
      <c r="N60" s="15">
        <f t="shared" si="11"/>
        <v>7.7</v>
      </c>
      <c r="O60" s="15">
        <f t="shared" si="6"/>
        <v>7.7</v>
      </c>
      <c r="P60" s="108" t="e">
        <f t="shared" si="7"/>
        <v>#DIV/0!</v>
      </c>
    </row>
    <row r="61" spans="1:16" ht="29.25" customHeight="1">
      <c r="A61" s="107"/>
      <c r="B61" s="214" t="s">
        <v>639</v>
      </c>
      <c r="C61" s="215"/>
      <c r="D61" s="216"/>
      <c r="E61" s="15"/>
      <c r="F61" s="15"/>
      <c r="G61" s="15"/>
      <c r="H61" s="15"/>
      <c r="I61" s="15"/>
      <c r="J61" s="19"/>
      <c r="K61" s="16"/>
      <c r="L61" s="16">
        <v>5.5</v>
      </c>
      <c r="M61" s="15">
        <f t="shared" si="10"/>
        <v>0</v>
      </c>
      <c r="N61" s="15">
        <f t="shared" si="11"/>
        <v>5.5</v>
      </c>
      <c r="O61" s="15">
        <f t="shared" si="6"/>
        <v>5.5</v>
      </c>
      <c r="P61" s="108" t="e">
        <f t="shared" si="7"/>
        <v>#DIV/0!</v>
      </c>
    </row>
    <row r="62" spans="1:16" ht="33" customHeight="1">
      <c r="A62" s="107"/>
      <c r="B62" s="217" t="s">
        <v>433</v>
      </c>
      <c r="C62" s="218"/>
      <c r="D62" s="219"/>
      <c r="E62" s="15"/>
      <c r="F62" s="15"/>
      <c r="G62" s="15"/>
      <c r="H62" s="15"/>
      <c r="I62" s="15"/>
      <c r="J62" s="19"/>
      <c r="K62" s="16"/>
      <c r="L62" s="16">
        <v>24.9</v>
      </c>
      <c r="M62" s="15">
        <f t="shared" si="10"/>
        <v>0</v>
      </c>
      <c r="N62" s="15">
        <f t="shared" si="11"/>
        <v>24.9</v>
      </c>
      <c r="O62" s="15">
        <f t="shared" si="6"/>
        <v>24.9</v>
      </c>
      <c r="P62" s="108" t="e">
        <f t="shared" si="7"/>
        <v>#DIV/0!</v>
      </c>
    </row>
    <row r="63" spans="1:16" ht="39" customHeight="1">
      <c r="A63" s="107"/>
      <c r="B63" s="214" t="s">
        <v>434</v>
      </c>
      <c r="C63" s="215"/>
      <c r="D63" s="216"/>
      <c r="E63" s="15"/>
      <c r="F63" s="15"/>
      <c r="G63" s="15"/>
      <c r="H63" s="15"/>
      <c r="I63" s="15"/>
      <c r="J63" s="19"/>
      <c r="K63" s="16"/>
      <c r="L63" s="16">
        <v>48</v>
      </c>
      <c r="M63" s="15">
        <f t="shared" si="10"/>
        <v>0</v>
      </c>
      <c r="N63" s="15">
        <f t="shared" si="11"/>
        <v>48</v>
      </c>
      <c r="O63" s="15">
        <f t="shared" si="6"/>
        <v>48</v>
      </c>
      <c r="P63" s="108" t="e">
        <f t="shared" si="7"/>
        <v>#DIV/0!</v>
      </c>
    </row>
    <row r="64" spans="1:16" ht="27" customHeight="1">
      <c r="A64" s="107"/>
      <c r="B64" s="171" t="s">
        <v>435</v>
      </c>
      <c r="C64" s="171"/>
      <c r="D64" s="171"/>
      <c r="E64" s="15"/>
      <c r="F64" s="15"/>
      <c r="G64" s="15"/>
      <c r="H64" s="15"/>
      <c r="I64" s="15"/>
      <c r="J64" s="19"/>
      <c r="K64" s="16"/>
      <c r="L64" s="16">
        <v>13.3</v>
      </c>
      <c r="M64" s="15">
        <f t="shared" si="10"/>
        <v>0</v>
      </c>
      <c r="N64" s="15">
        <f t="shared" si="11"/>
        <v>13.3</v>
      </c>
      <c r="O64" s="15">
        <f t="shared" si="6"/>
        <v>13.3</v>
      </c>
      <c r="P64" s="108" t="e">
        <f t="shared" si="7"/>
        <v>#DIV/0!</v>
      </c>
    </row>
    <row r="65" spans="1:16" ht="45" customHeight="1">
      <c r="A65" s="107"/>
      <c r="B65" s="214" t="s">
        <v>406</v>
      </c>
      <c r="C65" s="215"/>
      <c r="D65" s="216"/>
      <c r="E65" s="15"/>
      <c r="F65" s="15"/>
      <c r="G65" s="15"/>
      <c r="H65" s="15"/>
      <c r="I65" s="15"/>
      <c r="J65" s="19"/>
      <c r="K65" s="16"/>
      <c r="L65" s="16">
        <v>31.5</v>
      </c>
      <c r="M65" s="15">
        <f t="shared" si="10"/>
        <v>0</v>
      </c>
      <c r="N65" s="15">
        <f t="shared" si="11"/>
        <v>31.5</v>
      </c>
      <c r="O65" s="15">
        <f t="shared" si="6"/>
        <v>31.5</v>
      </c>
      <c r="P65" s="108" t="e">
        <f t="shared" si="7"/>
        <v>#DIV/0!</v>
      </c>
    </row>
    <row r="66" spans="1:16" ht="51" customHeight="1">
      <c r="A66" s="107"/>
      <c r="B66" s="214" t="s">
        <v>407</v>
      </c>
      <c r="C66" s="215"/>
      <c r="D66" s="216"/>
      <c r="E66" s="15"/>
      <c r="F66" s="15"/>
      <c r="G66" s="15"/>
      <c r="H66" s="15"/>
      <c r="I66" s="15"/>
      <c r="J66" s="19"/>
      <c r="K66" s="16"/>
      <c r="L66" s="16">
        <v>1.3</v>
      </c>
      <c r="M66" s="15">
        <f t="shared" si="10"/>
        <v>0</v>
      </c>
      <c r="N66" s="15">
        <f t="shared" si="11"/>
        <v>1.3</v>
      </c>
      <c r="O66" s="15">
        <f t="shared" si="6"/>
        <v>1.3</v>
      </c>
      <c r="P66" s="108" t="e">
        <f t="shared" si="7"/>
        <v>#DIV/0!</v>
      </c>
    </row>
    <row r="67" spans="1:16" ht="22.5" customHeight="1">
      <c r="A67" s="107"/>
      <c r="B67" s="217" t="s">
        <v>408</v>
      </c>
      <c r="C67" s="218"/>
      <c r="D67" s="219"/>
      <c r="E67" s="15"/>
      <c r="F67" s="15"/>
      <c r="G67" s="15"/>
      <c r="H67" s="15"/>
      <c r="I67" s="15"/>
      <c r="J67" s="19"/>
      <c r="K67" s="16"/>
      <c r="L67" s="16">
        <v>1</v>
      </c>
      <c r="M67" s="15">
        <f t="shared" si="10"/>
        <v>0</v>
      </c>
      <c r="N67" s="15">
        <f t="shared" si="11"/>
        <v>1</v>
      </c>
      <c r="O67" s="15">
        <f t="shared" si="6"/>
        <v>1</v>
      </c>
      <c r="P67" s="108" t="e">
        <f t="shared" si="7"/>
        <v>#DIV/0!</v>
      </c>
    </row>
    <row r="68" spans="1:16" ht="24.75" customHeight="1">
      <c r="A68" s="107"/>
      <c r="B68" s="217" t="s">
        <v>409</v>
      </c>
      <c r="C68" s="218"/>
      <c r="D68" s="219"/>
      <c r="E68" s="15"/>
      <c r="F68" s="15"/>
      <c r="G68" s="15"/>
      <c r="H68" s="15"/>
      <c r="I68" s="15"/>
      <c r="J68" s="19"/>
      <c r="K68" s="16"/>
      <c r="L68" s="16">
        <v>1.4</v>
      </c>
      <c r="M68" s="15">
        <f t="shared" si="10"/>
        <v>0</v>
      </c>
      <c r="N68" s="15">
        <f t="shared" si="11"/>
        <v>1.4</v>
      </c>
      <c r="O68" s="15">
        <f t="shared" si="6"/>
        <v>1.4</v>
      </c>
      <c r="P68" s="108" t="e">
        <f t="shared" si="7"/>
        <v>#DIV/0!</v>
      </c>
    </row>
    <row r="69" spans="1:16" ht="23.25" customHeight="1">
      <c r="A69" s="107"/>
      <c r="B69" s="217" t="s">
        <v>410</v>
      </c>
      <c r="C69" s="218"/>
      <c r="D69" s="219"/>
      <c r="E69" s="15"/>
      <c r="F69" s="15"/>
      <c r="G69" s="15"/>
      <c r="H69" s="15"/>
      <c r="I69" s="15"/>
      <c r="J69" s="19"/>
      <c r="K69" s="16"/>
      <c r="L69" s="16">
        <v>6</v>
      </c>
      <c r="M69" s="15">
        <f t="shared" si="10"/>
        <v>0</v>
      </c>
      <c r="N69" s="15">
        <f t="shared" si="11"/>
        <v>6</v>
      </c>
      <c r="O69" s="15">
        <f t="shared" si="6"/>
        <v>6</v>
      </c>
      <c r="P69" s="108" t="e">
        <f t="shared" si="7"/>
        <v>#DIV/0!</v>
      </c>
    </row>
    <row r="70" spans="1:16" ht="24.75" customHeight="1">
      <c r="A70" s="107"/>
      <c r="B70" s="214" t="s">
        <v>610</v>
      </c>
      <c r="C70" s="215"/>
      <c r="D70" s="216"/>
      <c r="E70" s="15"/>
      <c r="F70" s="15"/>
      <c r="G70" s="15"/>
      <c r="H70" s="15"/>
      <c r="I70" s="15"/>
      <c r="J70" s="19"/>
      <c r="K70" s="16"/>
      <c r="L70" s="16">
        <v>4</v>
      </c>
      <c r="M70" s="15">
        <f t="shared" si="10"/>
        <v>0</v>
      </c>
      <c r="N70" s="15">
        <f t="shared" si="11"/>
        <v>4</v>
      </c>
      <c r="O70" s="15">
        <f t="shared" si="6"/>
        <v>4</v>
      </c>
      <c r="P70" s="108" t="e">
        <f t="shared" si="7"/>
        <v>#DIV/0!</v>
      </c>
    </row>
    <row r="71" spans="1:16" ht="25.5" customHeight="1">
      <c r="A71" s="107"/>
      <c r="B71" s="214" t="s">
        <v>415</v>
      </c>
      <c r="C71" s="215"/>
      <c r="D71" s="216"/>
      <c r="E71" s="15"/>
      <c r="F71" s="15"/>
      <c r="G71" s="15"/>
      <c r="H71" s="15"/>
      <c r="I71" s="15"/>
      <c r="J71" s="19"/>
      <c r="K71" s="16"/>
      <c r="L71" s="16">
        <v>12.5</v>
      </c>
      <c r="M71" s="15">
        <f t="shared" si="10"/>
        <v>0</v>
      </c>
      <c r="N71" s="15">
        <f t="shared" si="11"/>
        <v>12.5</v>
      </c>
      <c r="O71" s="15">
        <f t="shared" si="6"/>
        <v>12.5</v>
      </c>
      <c r="P71" s="108" t="e">
        <f t="shared" si="7"/>
        <v>#DIV/0!</v>
      </c>
    </row>
    <row r="72" spans="1:16" ht="27.75" customHeight="1">
      <c r="A72" s="107"/>
      <c r="B72" s="214" t="s">
        <v>611</v>
      </c>
      <c r="C72" s="215"/>
      <c r="D72" s="216"/>
      <c r="E72" s="15"/>
      <c r="F72" s="15"/>
      <c r="G72" s="15"/>
      <c r="H72" s="15"/>
      <c r="I72" s="15"/>
      <c r="J72" s="19"/>
      <c r="K72" s="16"/>
      <c r="L72" s="16">
        <v>7</v>
      </c>
      <c r="M72" s="15">
        <f t="shared" si="10"/>
        <v>0</v>
      </c>
      <c r="N72" s="15">
        <f t="shared" si="11"/>
        <v>7</v>
      </c>
      <c r="O72" s="15">
        <f t="shared" si="6"/>
        <v>7</v>
      </c>
      <c r="P72" s="108" t="e">
        <f t="shared" si="7"/>
        <v>#DIV/0!</v>
      </c>
    </row>
    <row r="73" spans="1:16" ht="21.75" customHeight="1">
      <c r="A73" s="107"/>
      <c r="B73" s="217" t="s">
        <v>436</v>
      </c>
      <c r="C73" s="218"/>
      <c r="D73" s="219"/>
      <c r="E73" s="19"/>
      <c r="F73" s="19"/>
      <c r="G73" s="19"/>
      <c r="H73" s="19"/>
      <c r="I73" s="19"/>
      <c r="J73" s="19"/>
      <c r="K73" s="16"/>
      <c r="L73" s="16">
        <v>8.3000000000000007</v>
      </c>
      <c r="M73" s="15">
        <f t="shared" si="10"/>
        <v>0</v>
      </c>
      <c r="N73" s="15">
        <f t="shared" si="11"/>
        <v>8.3000000000000007</v>
      </c>
      <c r="O73" s="15">
        <f t="shared" si="6"/>
        <v>8.3000000000000007</v>
      </c>
      <c r="P73" s="109" t="e">
        <f t="shared" si="7"/>
        <v>#DIV/0!</v>
      </c>
    </row>
    <row r="74" spans="1:16" ht="23.25" customHeight="1">
      <c r="A74" s="110"/>
      <c r="B74" s="214" t="s">
        <v>437</v>
      </c>
      <c r="C74" s="215"/>
      <c r="D74" s="216"/>
      <c r="E74" s="19"/>
      <c r="F74" s="19"/>
      <c r="G74" s="19"/>
      <c r="H74" s="19"/>
      <c r="I74" s="19"/>
      <c r="J74" s="19"/>
      <c r="K74" s="16"/>
      <c r="L74" s="16">
        <v>3.2</v>
      </c>
      <c r="M74" s="15">
        <f t="shared" si="10"/>
        <v>0</v>
      </c>
      <c r="N74" s="15">
        <f t="shared" si="11"/>
        <v>3.2</v>
      </c>
      <c r="O74" s="15">
        <f t="shared" si="6"/>
        <v>3.2</v>
      </c>
      <c r="P74" s="109" t="e">
        <f t="shared" si="7"/>
        <v>#DIV/0!</v>
      </c>
    </row>
    <row r="75" spans="1:16" ht="24.75" customHeight="1">
      <c r="A75" s="110"/>
      <c r="B75" s="214" t="s">
        <v>438</v>
      </c>
      <c r="C75" s="215"/>
      <c r="D75" s="216"/>
      <c r="E75" s="19"/>
      <c r="F75" s="19"/>
      <c r="G75" s="19"/>
      <c r="H75" s="19"/>
      <c r="I75" s="19"/>
      <c r="J75" s="19"/>
      <c r="K75" s="16"/>
      <c r="L75" s="16">
        <v>0.6</v>
      </c>
      <c r="M75" s="15">
        <f t="shared" si="10"/>
        <v>0</v>
      </c>
      <c r="N75" s="15">
        <f t="shared" si="11"/>
        <v>0.6</v>
      </c>
      <c r="O75" s="15">
        <f t="shared" si="6"/>
        <v>0.6</v>
      </c>
      <c r="P75" s="109" t="e">
        <f t="shared" si="7"/>
        <v>#DIV/0!</v>
      </c>
    </row>
    <row r="76" spans="1:16" ht="18.75" customHeight="1">
      <c r="A76" s="110"/>
      <c r="B76" s="214" t="s">
        <v>416</v>
      </c>
      <c r="C76" s="215"/>
      <c r="D76" s="216"/>
      <c r="E76" s="19"/>
      <c r="F76" s="19"/>
      <c r="G76" s="19"/>
      <c r="H76" s="19"/>
      <c r="I76" s="19"/>
      <c r="J76" s="19"/>
      <c r="K76" s="16"/>
      <c r="L76" s="16">
        <v>0.5</v>
      </c>
      <c r="M76" s="15">
        <f t="shared" si="10"/>
        <v>0</v>
      </c>
      <c r="N76" s="15">
        <f t="shared" si="11"/>
        <v>0.5</v>
      </c>
      <c r="O76" s="15">
        <f t="shared" si="6"/>
        <v>0.5</v>
      </c>
      <c r="P76" s="109" t="e">
        <f t="shared" si="7"/>
        <v>#DIV/0!</v>
      </c>
    </row>
    <row r="77" spans="1:16" ht="38.25" customHeight="1">
      <c r="A77" s="110"/>
      <c r="B77" s="214" t="s">
        <v>612</v>
      </c>
      <c r="C77" s="215"/>
      <c r="D77" s="216"/>
      <c r="E77" s="19"/>
      <c r="F77" s="19"/>
      <c r="G77" s="19"/>
      <c r="H77" s="19"/>
      <c r="I77" s="19"/>
      <c r="J77" s="19"/>
      <c r="K77" s="16"/>
      <c r="L77" s="16">
        <v>39.6</v>
      </c>
      <c r="M77" s="15">
        <f t="shared" si="10"/>
        <v>0</v>
      </c>
      <c r="N77" s="15">
        <f t="shared" si="11"/>
        <v>39.6</v>
      </c>
      <c r="O77" s="15">
        <f t="shared" ref="O77:O110" si="12">N77-M77</f>
        <v>39.6</v>
      </c>
      <c r="P77" s="109" t="e">
        <f t="shared" ref="P77:P110" si="13">(N77/M77)*100</f>
        <v>#DIV/0!</v>
      </c>
    </row>
    <row r="78" spans="1:16" ht="24.75" customHeight="1">
      <c r="A78" s="110"/>
      <c r="B78" s="214" t="s">
        <v>613</v>
      </c>
      <c r="C78" s="215"/>
      <c r="D78" s="216"/>
      <c r="E78" s="19"/>
      <c r="F78" s="19"/>
      <c r="G78" s="19"/>
      <c r="H78" s="19"/>
      <c r="I78" s="19"/>
      <c r="J78" s="19"/>
      <c r="K78" s="16"/>
      <c r="L78" s="16">
        <v>7.4</v>
      </c>
      <c r="M78" s="15">
        <f t="shared" si="10"/>
        <v>0</v>
      </c>
      <c r="N78" s="15">
        <f t="shared" si="11"/>
        <v>7.4</v>
      </c>
      <c r="O78" s="15">
        <f t="shared" si="12"/>
        <v>7.4</v>
      </c>
      <c r="P78" s="109" t="e">
        <f t="shared" si="13"/>
        <v>#DIV/0!</v>
      </c>
    </row>
    <row r="79" spans="1:16" ht="24.75" customHeight="1">
      <c r="A79" s="110"/>
      <c r="B79" s="214" t="s">
        <v>614</v>
      </c>
      <c r="C79" s="215"/>
      <c r="D79" s="216"/>
      <c r="E79" s="19"/>
      <c r="F79" s="19"/>
      <c r="G79" s="19"/>
      <c r="H79" s="19"/>
      <c r="I79" s="19"/>
      <c r="J79" s="19">
        <v>6.3</v>
      </c>
      <c r="K79" s="16"/>
      <c r="L79" s="16"/>
      <c r="M79" s="15">
        <f t="shared" si="10"/>
        <v>0</v>
      </c>
      <c r="N79" s="15">
        <f t="shared" si="11"/>
        <v>6.3</v>
      </c>
      <c r="O79" s="15">
        <f t="shared" si="12"/>
        <v>6.3</v>
      </c>
      <c r="P79" s="109" t="e">
        <f t="shared" si="13"/>
        <v>#DIV/0!</v>
      </c>
    </row>
    <row r="80" spans="1:16" ht="41.25" customHeight="1">
      <c r="A80" s="110"/>
      <c r="B80" s="214" t="s">
        <v>615</v>
      </c>
      <c r="C80" s="215"/>
      <c r="D80" s="216"/>
      <c r="E80" s="19"/>
      <c r="F80" s="19"/>
      <c r="G80" s="19"/>
      <c r="H80" s="19"/>
      <c r="I80" s="19"/>
      <c r="J80" s="19">
        <v>12</v>
      </c>
      <c r="K80" s="16"/>
      <c r="L80" s="16"/>
      <c r="M80" s="15">
        <f t="shared" si="10"/>
        <v>0</v>
      </c>
      <c r="N80" s="15">
        <f t="shared" si="11"/>
        <v>12</v>
      </c>
      <c r="O80" s="15">
        <f t="shared" si="12"/>
        <v>12</v>
      </c>
      <c r="P80" s="109" t="e">
        <f t="shared" si="13"/>
        <v>#DIV/0!</v>
      </c>
    </row>
    <row r="81" spans="1:16" ht="24" customHeight="1">
      <c r="A81" s="110"/>
      <c r="B81" s="214" t="s">
        <v>616</v>
      </c>
      <c r="C81" s="215"/>
      <c r="D81" s="216"/>
      <c r="E81" s="19"/>
      <c r="F81" s="19"/>
      <c r="G81" s="19"/>
      <c r="H81" s="19"/>
      <c r="I81" s="19"/>
      <c r="J81" s="19">
        <v>1.8</v>
      </c>
      <c r="K81" s="16"/>
      <c r="L81" s="16"/>
      <c r="M81" s="15">
        <f t="shared" si="10"/>
        <v>0</v>
      </c>
      <c r="N81" s="15">
        <f t="shared" si="11"/>
        <v>1.8</v>
      </c>
      <c r="O81" s="15">
        <f t="shared" si="12"/>
        <v>1.8</v>
      </c>
      <c r="P81" s="109" t="e">
        <f t="shared" si="13"/>
        <v>#DIV/0!</v>
      </c>
    </row>
    <row r="82" spans="1:16" ht="26.25" customHeight="1">
      <c r="A82" s="110"/>
      <c r="B82" s="214" t="s">
        <v>617</v>
      </c>
      <c r="C82" s="215"/>
      <c r="D82" s="216"/>
      <c r="E82" s="19"/>
      <c r="F82" s="19"/>
      <c r="G82" s="19"/>
      <c r="H82" s="19">
        <v>10.3</v>
      </c>
      <c r="I82" s="19"/>
      <c r="J82" s="19"/>
      <c r="K82" s="16"/>
      <c r="L82" s="16"/>
      <c r="M82" s="15">
        <f t="shared" si="10"/>
        <v>0</v>
      </c>
      <c r="N82" s="15">
        <f t="shared" si="11"/>
        <v>10.3</v>
      </c>
      <c r="O82" s="15">
        <f t="shared" si="12"/>
        <v>10.3</v>
      </c>
      <c r="P82" s="109" t="e">
        <f t="shared" si="13"/>
        <v>#DIV/0!</v>
      </c>
    </row>
    <row r="83" spans="1:16" ht="24.75" customHeight="1">
      <c r="A83" s="110"/>
      <c r="B83" s="214" t="s">
        <v>618</v>
      </c>
      <c r="C83" s="215"/>
      <c r="D83" s="216"/>
      <c r="E83" s="19"/>
      <c r="F83" s="19"/>
      <c r="G83" s="19"/>
      <c r="H83" s="19">
        <v>6.2</v>
      </c>
      <c r="I83" s="19"/>
      <c r="J83" s="19"/>
      <c r="K83" s="16"/>
      <c r="L83" s="16"/>
      <c r="M83" s="15">
        <f t="shared" si="10"/>
        <v>0</v>
      </c>
      <c r="N83" s="15">
        <f t="shared" si="11"/>
        <v>6.2</v>
      </c>
      <c r="O83" s="15">
        <f t="shared" si="12"/>
        <v>6.2</v>
      </c>
      <c r="P83" s="109" t="e">
        <f t="shared" si="13"/>
        <v>#DIV/0!</v>
      </c>
    </row>
    <row r="84" spans="1:16" ht="44.25" customHeight="1">
      <c r="A84" s="110"/>
      <c r="B84" s="214" t="s">
        <v>619</v>
      </c>
      <c r="C84" s="215"/>
      <c r="D84" s="216"/>
      <c r="E84" s="19"/>
      <c r="F84" s="19"/>
      <c r="G84" s="19"/>
      <c r="H84" s="19">
        <v>14.7</v>
      </c>
      <c r="I84" s="19"/>
      <c r="J84" s="19"/>
      <c r="K84" s="16"/>
      <c r="L84" s="16"/>
      <c r="M84" s="15">
        <f t="shared" si="10"/>
        <v>0</v>
      </c>
      <c r="N84" s="15">
        <f t="shared" si="11"/>
        <v>14.7</v>
      </c>
      <c r="O84" s="15">
        <f t="shared" si="12"/>
        <v>14.7</v>
      </c>
      <c r="P84" s="109" t="e">
        <f t="shared" si="13"/>
        <v>#DIV/0!</v>
      </c>
    </row>
    <row r="85" spans="1:16" ht="43.5" customHeight="1">
      <c r="A85" s="110"/>
      <c r="B85" s="214" t="s">
        <v>620</v>
      </c>
      <c r="C85" s="215"/>
      <c r="D85" s="216"/>
      <c r="E85" s="19"/>
      <c r="F85" s="19"/>
      <c r="G85" s="19"/>
      <c r="H85" s="19">
        <v>17.600000000000001</v>
      </c>
      <c r="I85" s="19"/>
      <c r="J85" s="19"/>
      <c r="K85" s="16"/>
      <c r="L85" s="16"/>
      <c r="M85" s="15">
        <f t="shared" si="10"/>
        <v>0</v>
      </c>
      <c r="N85" s="15">
        <f t="shared" si="11"/>
        <v>17.600000000000001</v>
      </c>
      <c r="O85" s="15">
        <f t="shared" si="12"/>
        <v>17.600000000000001</v>
      </c>
      <c r="P85" s="109" t="e">
        <f t="shared" si="13"/>
        <v>#DIV/0!</v>
      </c>
    </row>
    <row r="86" spans="1:16" ht="24.75" customHeight="1">
      <c r="A86" s="110"/>
      <c r="B86" s="214" t="s">
        <v>621</v>
      </c>
      <c r="C86" s="215"/>
      <c r="D86" s="216"/>
      <c r="E86" s="19"/>
      <c r="F86" s="19"/>
      <c r="G86" s="19"/>
      <c r="H86" s="19">
        <v>26.4</v>
      </c>
      <c r="I86" s="19"/>
      <c r="J86" s="19"/>
      <c r="K86" s="16"/>
      <c r="L86" s="16"/>
      <c r="M86" s="15">
        <f t="shared" si="10"/>
        <v>0</v>
      </c>
      <c r="N86" s="15">
        <f t="shared" si="11"/>
        <v>26.4</v>
      </c>
      <c r="O86" s="15">
        <f t="shared" si="12"/>
        <v>26.4</v>
      </c>
      <c r="P86" s="109" t="e">
        <f t="shared" si="13"/>
        <v>#DIV/0!</v>
      </c>
    </row>
    <row r="87" spans="1:16" ht="36" customHeight="1">
      <c r="A87" s="110"/>
      <c r="B87" s="214" t="s">
        <v>622</v>
      </c>
      <c r="C87" s="215"/>
      <c r="D87" s="216"/>
      <c r="E87" s="19"/>
      <c r="F87" s="19"/>
      <c r="G87" s="19"/>
      <c r="H87" s="19">
        <v>9.6999999999999993</v>
      </c>
      <c r="I87" s="19"/>
      <c r="J87" s="19"/>
      <c r="K87" s="16"/>
      <c r="L87" s="16"/>
      <c r="M87" s="15">
        <f t="shared" si="10"/>
        <v>0</v>
      </c>
      <c r="N87" s="15">
        <f t="shared" si="11"/>
        <v>9.6999999999999993</v>
      </c>
      <c r="O87" s="15">
        <f t="shared" si="12"/>
        <v>9.6999999999999993</v>
      </c>
      <c r="P87" s="109" t="e">
        <f t="shared" si="13"/>
        <v>#DIV/0!</v>
      </c>
    </row>
    <row r="88" spans="1:16" ht="25.5" customHeight="1">
      <c r="A88" s="110"/>
      <c r="B88" s="214" t="s">
        <v>623</v>
      </c>
      <c r="C88" s="215"/>
      <c r="D88" s="216"/>
      <c r="E88" s="19"/>
      <c r="F88" s="19"/>
      <c r="G88" s="19"/>
      <c r="H88" s="19">
        <v>6.2</v>
      </c>
      <c r="I88" s="19"/>
      <c r="J88" s="19"/>
      <c r="K88" s="16"/>
      <c r="L88" s="16"/>
      <c r="M88" s="15">
        <f t="shared" si="10"/>
        <v>0</v>
      </c>
      <c r="N88" s="15">
        <f t="shared" si="11"/>
        <v>6.2</v>
      </c>
      <c r="O88" s="15">
        <f t="shared" si="12"/>
        <v>6.2</v>
      </c>
      <c r="P88" s="109" t="e">
        <f t="shared" si="13"/>
        <v>#DIV/0!</v>
      </c>
    </row>
    <row r="89" spans="1:16" ht="38.25" customHeight="1">
      <c r="A89" s="110"/>
      <c r="B89" s="214" t="s">
        <v>624</v>
      </c>
      <c r="C89" s="215"/>
      <c r="D89" s="216"/>
      <c r="E89" s="19"/>
      <c r="F89" s="19"/>
      <c r="G89" s="19"/>
      <c r="H89" s="19"/>
      <c r="I89" s="19"/>
      <c r="J89" s="19">
        <v>45.8</v>
      </c>
      <c r="K89" s="16"/>
      <c r="L89" s="16"/>
      <c r="M89" s="15">
        <f t="shared" si="10"/>
        <v>0</v>
      </c>
      <c r="N89" s="15">
        <f t="shared" si="11"/>
        <v>45.8</v>
      </c>
      <c r="O89" s="15">
        <f t="shared" si="12"/>
        <v>45.8</v>
      </c>
      <c r="P89" s="109" t="e">
        <f t="shared" si="13"/>
        <v>#DIV/0!</v>
      </c>
    </row>
    <row r="90" spans="1:16" ht="38.25" customHeight="1">
      <c r="A90" s="110"/>
      <c r="B90" s="214" t="s">
        <v>625</v>
      </c>
      <c r="C90" s="215"/>
      <c r="D90" s="216"/>
      <c r="E90" s="19"/>
      <c r="F90" s="19"/>
      <c r="G90" s="19"/>
      <c r="H90" s="19"/>
      <c r="I90" s="19"/>
      <c r="J90" s="19">
        <v>31.8</v>
      </c>
      <c r="K90" s="16"/>
      <c r="L90" s="16"/>
      <c r="M90" s="15">
        <f t="shared" si="10"/>
        <v>0</v>
      </c>
      <c r="N90" s="15">
        <f t="shared" si="11"/>
        <v>31.8</v>
      </c>
      <c r="O90" s="15">
        <f t="shared" si="12"/>
        <v>31.8</v>
      </c>
      <c r="P90" s="109" t="e">
        <f t="shared" si="13"/>
        <v>#DIV/0!</v>
      </c>
    </row>
    <row r="91" spans="1:16" ht="41.25" customHeight="1">
      <c r="A91" s="110"/>
      <c r="B91" s="214" t="s">
        <v>626</v>
      </c>
      <c r="C91" s="215"/>
      <c r="D91" s="216"/>
      <c r="E91" s="19"/>
      <c r="F91" s="19"/>
      <c r="G91" s="19"/>
      <c r="H91" s="19"/>
      <c r="I91" s="19"/>
      <c r="J91" s="19">
        <v>14.8</v>
      </c>
      <c r="K91" s="16"/>
      <c r="L91" s="16"/>
      <c r="M91" s="15">
        <f t="shared" si="10"/>
        <v>0</v>
      </c>
      <c r="N91" s="15">
        <f t="shared" si="11"/>
        <v>14.8</v>
      </c>
      <c r="O91" s="15">
        <f t="shared" si="12"/>
        <v>14.8</v>
      </c>
      <c r="P91" s="109" t="e">
        <f t="shared" si="13"/>
        <v>#DIV/0!</v>
      </c>
    </row>
    <row r="92" spans="1:16" ht="85.5" customHeight="1">
      <c r="A92" s="110"/>
      <c r="B92" s="214" t="s">
        <v>627</v>
      </c>
      <c r="C92" s="215"/>
      <c r="D92" s="216"/>
      <c r="E92" s="19"/>
      <c r="F92" s="19"/>
      <c r="G92" s="19"/>
      <c r="H92" s="19"/>
      <c r="I92" s="19"/>
      <c r="J92" s="19"/>
      <c r="K92" s="16"/>
      <c r="L92" s="16">
        <v>18.3</v>
      </c>
      <c r="M92" s="15">
        <f t="shared" si="10"/>
        <v>0</v>
      </c>
      <c r="N92" s="15">
        <f t="shared" si="11"/>
        <v>18.3</v>
      </c>
      <c r="O92" s="15">
        <f t="shared" si="12"/>
        <v>18.3</v>
      </c>
      <c r="P92" s="109" t="e">
        <f t="shared" si="13"/>
        <v>#DIV/0!</v>
      </c>
    </row>
    <row r="93" spans="1:16" ht="35.25" customHeight="1">
      <c r="A93" s="110"/>
      <c r="B93" s="214" t="s">
        <v>628</v>
      </c>
      <c r="C93" s="215"/>
      <c r="D93" s="216"/>
      <c r="E93" s="19"/>
      <c r="F93" s="19"/>
      <c r="G93" s="19"/>
      <c r="H93" s="19">
        <v>23.4</v>
      </c>
      <c r="I93" s="19"/>
      <c r="J93" s="19"/>
      <c r="K93" s="16"/>
      <c r="L93" s="16"/>
      <c r="M93" s="15">
        <f t="shared" si="10"/>
        <v>0</v>
      </c>
      <c r="N93" s="15">
        <f t="shared" si="11"/>
        <v>23.4</v>
      </c>
      <c r="O93" s="15">
        <f t="shared" si="12"/>
        <v>23.4</v>
      </c>
      <c r="P93" s="109" t="e">
        <f t="shared" si="13"/>
        <v>#DIV/0!</v>
      </c>
    </row>
    <row r="94" spans="1:16" ht="28.5" customHeight="1">
      <c r="A94" s="110"/>
      <c r="B94" s="214" t="s">
        <v>629</v>
      </c>
      <c r="C94" s="215"/>
      <c r="D94" s="216"/>
      <c r="E94" s="19"/>
      <c r="F94" s="19"/>
      <c r="G94" s="19"/>
      <c r="H94" s="19"/>
      <c r="I94" s="19"/>
      <c r="J94" s="19"/>
      <c r="K94" s="16"/>
      <c r="L94" s="16">
        <v>17</v>
      </c>
      <c r="M94" s="15">
        <f t="shared" si="10"/>
        <v>0</v>
      </c>
      <c r="N94" s="15">
        <f t="shared" si="11"/>
        <v>17</v>
      </c>
      <c r="O94" s="15">
        <f t="shared" si="12"/>
        <v>17</v>
      </c>
      <c r="P94" s="109" t="e">
        <f t="shared" si="13"/>
        <v>#DIV/0!</v>
      </c>
    </row>
    <row r="95" spans="1:16" ht="44.25" customHeight="1">
      <c r="A95" s="110"/>
      <c r="B95" s="214" t="s">
        <v>630</v>
      </c>
      <c r="C95" s="215"/>
      <c r="D95" s="216"/>
      <c r="E95" s="19"/>
      <c r="F95" s="19"/>
      <c r="G95" s="19"/>
      <c r="H95" s="19"/>
      <c r="I95" s="19"/>
      <c r="J95" s="19"/>
      <c r="K95" s="16"/>
      <c r="L95" s="16">
        <v>36</v>
      </c>
      <c r="M95" s="15"/>
      <c r="N95" s="15"/>
      <c r="O95" s="15">
        <f t="shared" si="12"/>
        <v>0</v>
      </c>
      <c r="P95" s="109" t="e">
        <f t="shared" si="13"/>
        <v>#DIV/0!</v>
      </c>
    </row>
    <row r="96" spans="1:16" ht="25.5" customHeight="1">
      <c r="A96" s="110"/>
      <c r="B96" s="214" t="s">
        <v>631</v>
      </c>
      <c r="C96" s="215"/>
      <c r="D96" s="216"/>
      <c r="E96" s="19"/>
      <c r="F96" s="19"/>
      <c r="G96" s="19"/>
      <c r="H96" s="19"/>
      <c r="I96" s="19"/>
      <c r="J96" s="19"/>
      <c r="K96" s="16"/>
      <c r="L96" s="16">
        <v>16</v>
      </c>
      <c r="M96" s="15"/>
      <c r="N96" s="15"/>
      <c r="O96" s="15">
        <f t="shared" si="12"/>
        <v>0</v>
      </c>
      <c r="P96" s="109" t="e">
        <f t="shared" si="13"/>
        <v>#DIV/0!</v>
      </c>
    </row>
    <row r="97" spans="1:16" ht="25.5" customHeight="1">
      <c r="A97" s="110"/>
      <c r="B97" s="214" t="s">
        <v>632</v>
      </c>
      <c r="C97" s="215"/>
      <c r="D97" s="216"/>
      <c r="E97" s="19"/>
      <c r="F97" s="19"/>
      <c r="G97" s="19"/>
      <c r="H97" s="19"/>
      <c r="I97" s="19"/>
      <c r="J97" s="19"/>
      <c r="K97" s="16"/>
      <c r="L97" s="16">
        <v>3</v>
      </c>
      <c r="M97" s="15"/>
      <c r="N97" s="15"/>
      <c r="O97" s="15">
        <f t="shared" si="12"/>
        <v>0</v>
      </c>
      <c r="P97" s="109" t="e">
        <f t="shared" si="13"/>
        <v>#DIV/0!</v>
      </c>
    </row>
    <row r="98" spans="1:16" ht="25.5" customHeight="1">
      <c r="A98" s="110"/>
      <c r="B98" s="214" t="s">
        <v>633</v>
      </c>
      <c r="C98" s="215"/>
      <c r="D98" s="216"/>
      <c r="E98" s="19"/>
      <c r="F98" s="19"/>
      <c r="G98" s="19"/>
      <c r="H98" s="19"/>
      <c r="I98" s="19"/>
      <c r="J98" s="19"/>
      <c r="K98" s="16"/>
      <c r="L98" s="16">
        <v>1.6</v>
      </c>
      <c r="M98" s="15"/>
      <c r="N98" s="15"/>
      <c r="O98" s="15">
        <f t="shared" si="12"/>
        <v>0</v>
      </c>
      <c r="P98" s="109" t="e">
        <f t="shared" si="13"/>
        <v>#DIV/0!</v>
      </c>
    </row>
    <row r="99" spans="1:16" ht="25.5" customHeight="1">
      <c r="A99" s="110"/>
      <c r="B99" s="214" t="s">
        <v>634</v>
      </c>
      <c r="C99" s="215"/>
      <c r="D99" s="216"/>
      <c r="E99" s="19"/>
      <c r="F99" s="19"/>
      <c r="G99" s="19"/>
      <c r="H99" s="19"/>
      <c r="I99" s="19"/>
      <c r="J99" s="19"/>
      <c r="K99" s="16"/>
      <c r="L99" s="16">
        <v>1.5</v>
      </c>
      <c r="M99" s="15"/>
      <c r="N99" s="15"/>
      <c r="O99" s="15">
        <f t="shared" si="12"/>
        <v>0</v>
      </c>
      <c r="P99" s="109" t="e">
        <f t="shared" si="13"/>
        <v>#DIV/0!</v>
      </c>
    </row>
    <row r="100" spans="1:16" ht="25.5" customHeight="1">
      <c r="A100" s="110"/>
      <c r="B100" s="214" t="s">
        <v>635</v>
      </c>
      <c r="C100" s="215"/>
      <c r="D100" s="216"/>
      <c r="E100" s="19"/>
      <c r="F100" s="19"/>
      <c r="G100" s="19"/>
      <c r="H100" s="19"/>
      <c r="I100" s="19"/>
      <c r="J100" s="19"/>
      <c r="K100" s="16"/>
      <c r="L100" s="16">
        <v>2.8</v>
      </c>
      <c r="M100" s="15"/>
      <c r="N100" s="15"/>
      <c r="O100" s="15">
        <f t="shared" si="12"/>
        <v>0</v>
      </c>
      <c r="P100" s="109" t="e">
        <f t="shared" si="13"/>
        <v>#DIV/0!</v>
      </c>
    </row>
    <row r="101" spans="1:16" ht="25.5" customHeight="1">
      <c r="A101" s="110"/>
      <c r="B101" s="214" t="s">
        <v>636</v>
      </c>
      <c r="C101" s="215"/>
      <c r="D101" s="216"/>
      <c r="E101" s="19"/>
      <c r="F101" s="19"/>
      <c r="G101" s="19"/>
      <c r="H101" s="19"/>
      <c r="I101" s="19"/>
      <c r="J101" s="19"/>
      <c r="K101" s="16"/>
      <c r="L101" s="16">
        <v>8.4</v>
      </c>
      <c r="M101" s="15"/>
      <c r="N101" s="15"/>
      <c r="O101" s="15">
        <f t="shared" si="12"/>
        <v>0</v>
      </c>
      <c r="P101" s="109" t="e">
        <f t="shared" si="13"/>
        <v>#DIV/0!</v>
      </c>
    </row>
    <row r="102" spans="1:16" ht="25.5" customHeight="1">
      <c r="A102" s="110"/>
      <c r="B102" s="214" t="s">
        <v>637</v>
      </c>
      <c r="C102" s="215"/>
      <c r="D102" s="216"/>
      <c r="E102" s="19"/>
      <c r="F102" s="19"/>
      <c r="G102" s="19"/>
      <c r="H102" s="19"/>
      <c r="I102" s="19"/>
      <c r="J102" s="19"/>
      <c r="K102" s="16"/>
      <c r="L102" s="16">
        <v>1.6</v>
      </c>
      <c r="M102" s="15"/>
      <c r="N102" s="15"/>
      <c r="O102" s="15">
        <f t="shared" si="12"/>
        <v>0</v>
      </c>
      <c r="P102" s="109" t="e">
        <f t="shared" si="13"/>
        <v>#DIV/0!</v>
      </c>
    </row>
    <row r="103" spans="1:16" ht="60.75" customHeight="1">
      <c r="A103" s="110"/>
      <c r="B103" s="214" t="s">
        <v>638</v>
      </c>
      <c r="C103" s="215"/>
      <c r="D103" s="216"/>
      <c r="E103" s="19"/>
      <c r="F103" s="19"/>
      <c r="G103" s="19"/>
      <c r="H103" s="19"/>
      <c r="I103" s="19"/>
      <c r="J103" s="19">
        <v>160.80000000000001</v>
      </c>
      <c r="K103" s="16"/>
      <c r="L103" s="16"/>
      <c r="M103" s="15">
        <f t="shared" si="10"/>
        <v>0</v>
      </c>
      <c r="N103" s="15">
        <f t="shared" si="11"/>
        <v>160.80000000000001</v>
      </c>
      <c r="O103" s="15">
        <f t="shared" si="12"/>
        <v>160.80000000000001</v>
      </c>
      <c r="P103" s="109" t="e">
        <f t="shared" si="13"/>
        <v>#DIV/0!</v>
      </c>
    </row>
    <row r="104" spans="1:16" ht="34.5" customHeight="1">
      <c r="A104" s="110"/>
      <c r="B104" s="214" t="s">
        <v>649</v>
      </c>
      <c r="C104" s="215"/>
      <c r="D104" s="216"/>
      <c r="E104" s="19"/>
      <c r="F104" s="19"/>
      <c r="G104" s="19"/>
      <c r="H104" s="19"/>
      <c r="I104" s="19"/>
      <c r="J104" s="19"/>
      <c r="K104" s="16"/>
      <c r="L104" s="16">
        <v>22.8</v>
      </c>
      <c r="M104" s="15">
        <f t="shared" si="10"/>
        <v>0</v>
      </c>
      <c r="N104" s="15">
        <f t="shared" si="11"/>
        <v>22.8</v>
      </c>
      <c r="O104" s="15">
        <f t="shared" si="12"/>
        <v>22.8</v>
      </c>
      <c r="P104" s="109" t="e">
        <f t="shared" si="13"/>
        <v>#DIV/0!</v>
      </c>
    </row>
    <row r="105" spans="1:16" s="176" customFormat="1" ht="36.75" customHeight="1">
      <c r="A105" s="107" t="s">
        <v>105</v>
      </c>
      <c r="B105" s="220" t="s">
        <v>445</v>
      </c>
      <c r="C105" s="221"/>
      <c r="D105" s="222"/>
      <c r="E105" s="15"/>
      <c r="F105" s="15"/>
      <c r="G105" s="15">
        <f t="shared" ref="G105:N105" si="14">SUM(G106:G110)</f>
        <v>14632.1</v>
      </c>
      <c r="H105" s="15">
        <f t="shared" si="14"/>
        <v>14632.1</v>
      </c>
      <c r="I105" s="15">
        <f t="shared" si="14"/>
        <v>0</v>
      </c>
      <c r="J105" s="15">
        <f t="shared" si="14"/>
        <v>0</v>
      </c>
      <c r="K105" s="15">
        <f t="shared" si="14"/>
        <v>0</v>
      </c>
      <c r="L105" s="15">
        <f t="shared" si="14"/>
        <v>37.5</v>
      </c>
      <c r="M105" s="15">
        <f t="shared" si="14"/>
        <v>14632.1</v>
      </c>
      <c r="N105" s="15">
        <f t="shared" si="14"/>
        <v>14669.6</v>
      </c>
      <c r="O105" s="15">
        <f t="shared" si="12"/>
        <v>37.5</v>
      </c>
      <c r="P105" s="15">
        <f t="shared" si="13"/>
        <v>100.25628583730291</v>
      </c>
    </row>
    <row r="106" spans="1:16" ht="86.25" customHeight="1">
      <c r="A106" s="110"/>
      <c r="B106" s="214" t="s">
        <v>266</v>
      </c>
      <c r="C106" s="215"/>
      <c r="D106" s="216"/>
      <c r="E106" s="19"/>
      <c r="F106" s="19"/>
      <c r="G106" s="19">
        <v>6590</v>
      </c>
      <c r="H106" s="19">
        <v>6590</v>
      </c>
      <c r="I106" s="19"/>
      <c r="J106" s="19"/>
      <c r="K106" s="16"/>
      <c r="L106" s="16"/>
      <c r="M106" s="15">
        <f t="shared" ref="M106:N110" si="15">E106+G106+I106+K106</f>
        <v>6590</v>
      </c>
      <c r="N106" s="15">
        <f t="shared" si="15"/>
        <v>6590</v>
      </c>
      <c r="O106" s="15">
        <f t="shared" si="12"/>
        <v>0</v>
      </c>
      <c r="P106" s="19">
        <f t="shared" si="13"/>
        <v>100</v>
      </c>
    </row>
    <row r="107" spans="1:16" ht="86.25" customHeight="1">
      <c r="A107" s="110"/>
      <c r="B107" s="214" t="s">
        <v>508</v>
      </c>
      <c r="C107" s="215"/>
      <c r="D107" s="216"/>
      <c r="E107" s="19"/>
      <c r="F107" s="19"/>
      <c r="G107" s="19">
        <v>4449.6000000000004</v>
      </c>
      <c r="H107" s="19">
        <v>4449.6000000000004</v>
      </c>
      <c r="I107" s="19"/>
      <c r="J107" s="19"/>
      <c r="K107" s="16"/>
      <c r="L107" s="16"/>
      <c r="M107" s="15">
        <f t="shared" si="15"/>
        <v>4449.6000000000004</v>
      </c>
      <c r="N107" s="15">
        <f t="shared" si="15"/>
        <v>4449.6000000000004</v>
      </c>
      <c r="O107" s="15">
        <f t="shared" si="12"/>
        <v>0</v>
      </c>
      <c r="P107" s="19">
        <f t="shared" si="13"/>
        <v>100</v>
      </c>
    </row>
    <row r="108" spans="1:16" ht="117" customHeight="1">
      <c r="A108" s="110"/>
      <c r="B108" s="214" t="s">
        <v>509</v>
      </c>
      <c r="C108" s="215"/>
      <c r="D108" s="216"/>
      <c r="E108" s="19"/>
      <c r="F108" s="19"/>
      <c r="G108" s="19">
        <v>214.9</v>
      </c>
      <c r="H108" s="19">
        <v>214.9</v>
      </c>
      <c r="I108" s="19"/>
      <c r="J108" s="19"/>
      <c r="K108" s="16"/>
      <c r="L108" s="16"/>
      <c r="M108" s="15">
        <f t="shared" si="15"/>
        <v>214.9</v>
      </c>
      <c r="N108" s="15">
        <f t="shared" si="15"/>
        <v>214.9</v>
      </c>
      <c r="O108" s="15">
        <f t="shared" si="12"/>
        <v>0</v>
      </c>
      <c r="P108" s="19">
        <f t="shared" si="13"/>
        <v>100</v>
      </c>
    </row>
    <row r="109" spans="1:16" ht="104.25" customHeight="1">
      <c r="A109" s="110"/>
      <c r="B109" s="237" t="s">
        <v>510</v>
      </c>
      <c r="C109" s="238"/>
      <c r="D109" s="239"/>
      <c r="E109" s="19"/>
      <c r="F109" s="19"/>
      <c r="G109" s="19">
        <v>3377.6</v>
      </c>
      <c r="H109" s="19">
        <v>3377.6</v>
      </c>
      <c r="I109" s="19"/>
      <c r="J109" s="19"/>
      <c r="K109" s="16"/>
      <c r="L109" s="16"/>
      <c r="M109" s="15">
        <f t="shared" si="15"/>
        <v>3377.6</v>
      </c>
      <c r="N109" s="15">
        <f t="shared" si="15"/>
        <v>3377.6</v>
      </c>
      <c r="O109" s="15">
        <f t="shared" si="12"/>
        <v>0</v>
      </c>
      <c r="P109" s="19">
        <f t="shared" si="13"/>
        <v>100</v>
      </c>
    </row>
    <row r="110" spans="1:16" ht="105.75" customHeight="1">
      <c r="A110" s="110"/>
      <c r="B110" s="214" t="s">
        <v>607</v>
      </c>
      <c r="C110" s="215"/>
      <c r="D110" s="216"/>
      <c r="E110" s="19"/>
      <c r="F110" s="19"/>
      <c r="G110" s="19"/>
      <c r="H110" s="19"/>
      <c r="I110" s="19"/>
      <c r="J110" s="19"/>
      <c r="K110" s="16"/>
      <c r="L110" s="16">
        <v>37.5</v>
      </c>
      <c r="M110" s="15">
        <f t="shared" si="15"/>
        <v>0</v>
      </c>
      <c r="N110" s="15">
        <f t="shared" si="15"/>
        <v>37.5</v>
      </c>
      <c r="O110" s="15">
        <f t="shared" si="12"/>
        <v>37.5</v>
      </c>
      <c r="P110" s="109" t="e">
        <f t="shared" si="13"/>
        <v>#DIV/0!</v>
      </c>
    </row>
    <row r="111" spans="1:16" ht="40.5" customHeight="1">
      <c r="A111" s="235" t="s">
        <v>9</v>
      </c>
      <c r="B111" s="236"/>
      <c r="C111" s="236"/>
      <c r="D111" s="236"/>
      <c r="E111" s="111">
        <f>E7+E33</f>
        <v>0</v>
      </c>
      <c r="F111" s="111">
        <f>F7+F33</f>
        <v>0</v>
      </c>
      <c r="G111" s="111">
        <f>G7+G33+G105</f>
        <v>21546.9</v>
      </c>
      <c r="H111" s="111">
        <f>H7+H33+H105</f>
        <v>21661.4</v>
      </c>
      <c r="I111" s="111">
        <f>I7+I33</f>
        <v>0</v>
      </c>
      <c r="J111" s="111">
        <f>J7+J33+J105</f>
        <v>442.90000000000003</v>
      </c>
      <c r="K111" s="111">
        <f>K7+K33+K105</f>
        <v>0</v>
      </c>
      <c r="L111" s="111">
        <f>L7+L33+L105</f>
        <v>5232.3</v>
      </c>
      <c r="M111" s="111">
        <f>M7+M33+M105</f>
        <v>21546.9</v>
      </c>
      <c r="N111" s="111">
        <f>N7+N33+N105</f>
        <v>27336.6</v>
      </c>
      <c r="O111" s="111">
        <f>O7+O33</f>
        <v>5752.1999999999989</v>
      </c>
      <c r="P111" s="111">
        <f>(N111/M111)*100</f>
        <v>126.87022263063363</v>
      </c>
    </row>
    <row r="112" spans="1:16" ht="20.100000000000001" customHeight="1">
      <c r="A112" s="112"/>
      <c r="B112" s="112"/>
      <c r="C112" s="113"/>
      <c r="D112" s="113"/>
      <c r="E112" s="113"/>
      <c r="F112" s="113"/>
      <c r="G112" s="113"/>
      <c r="H112" s="113"/>
      <c r="I112" s="113"/>
      <c r="J112" s="112"/>
      <c r="K112" s="113"/>
      <c r="L112" s="112"/>
    </row>
    <row r="113" spans="1:13" ht="57.75" customHeight="1">
      <c r="A113" s="114"/>
      <c r="B113" s="114"/>
      <c r="C113" s="115"/>
      <c r="D113" s="115"/>
      <c r="E113" s="115"/>
      <c r="F113" s="115"/>
      <c r="G113" s="115"/>
      <c r="H113" s="115"/>
      <c r="I113" s="115"/>
      <c r="J113" s="115"/>
    </row>
    <row r="114" spans="1:13" ht="18" hidden="1" customHeight="1">
      <c r="A114" s="114"/>
      <c r="B114" s="114"/>
      <c r="C114" s="115"/>
      <c r="D114" s="115"/>
      <c r="E114" s="115"/>
      <c r="F114" s="115"/>
      <c r="G114" s="115"/>
      <c r="H114" s="115"/>
      <c r="I114" s="115"/>
      <c r="J114" s="115"/>
    </row>
    <row r="115" spans="1:13" s="196" customFormat="1" ht="19.5" hidden="1" customHeight="1">
      <c r="C115" s="9"/>
      <c r="D115" s="9"/>
      <c r="E115" s="9"/>
      <c r="F115" s="9"/>
    </row>
    <row r="116" spans="1:13" s="10" customFormat="1" ht="32.25" customHeight="1">
      <c r="B116" s="230" t="s">
        <v>257</v>
      </c>
      <c r="C116" s="231"/>
      <c r="D116" s="231"/>
      <c r="E116" s="195"/>
      <c r="F116" s="195"/>
      <c r="G116" s="232"/>
      <c r="H116" s="232"/>
      <c r="I116" s="232"/>
      <c r="J116" s="116"/>
      <c r="K116" s="233" t="s">
        <v>204</v>
      </c>
      <c r="L116" s="233"/>
      <c r="M116" s="233"/>
    </row>
    <row r="117" spans="1:13" s="196" customFormat="1" ht="19.5" customHeight="1">
      <c r="B117" s="234" t="s">
        <v>10</v>
      </c>
      <c r="C117" s="234"/>
      <c r="D117" s="234"/>
      <c r="E117" s="117"/>
      <c r="F117" s="117"/>
      <c r="G117" s="118"/>
      <c r="H117" s="119" t="s">
        <v>11</v>
      </c>
      <c r="I117" s="118"/>
      <c r="J117" s="117"/>
      <c r="K117" s="234" t="s">
        <v>17</v>
      </c>
      <c r="L117" s="234"/>
      <c r="M117" s="234"/>
    </row>
    <row r="118" spans="1:13" ht="20.100000000000001" customHeight="1">
      <c r="B118" s="120"/>
      <c r="C118" s="120"/>
      <c r="D118" s="120"/>
      <c r="E118" s="121"/>
      <c r="F118" s="121"/>
      <c r="G118" s="121"/>
      <c r="H118" s="121"/>
      <c r="I118" s="121"/>
      <c r="J118" s="121"/>
    </row>
    <row r="119" spans="1:13" ht="20.100000000000001" customHeight="1">
      <c r="B119" s="120"/>
      <c r="C119" s="120"/>
      <c r="D119" s="120"/>
      <c r="E119" s="120"/>
      <c r="F119" s="120"/>
      <c r="G119" s="120"/>
      <c r="H119" s="120"/>
      <c r="I119" s="120"/>
      <c r="J119" s="120"/>
    </row>
    <row r="120" spans="1:13">
      <c r="B120" s="120"/>
      <c r="C120" s="120"/>
      <c r="D120" s="120"/>
      <c r="E120" s="120"/>
      <c r="F120" s="120"/>
      <c r="G120" s="120"/>
      <c r="H120" s="120"/>
      <c r="I120" s="120"/>
      <c r="J120" s="120"/>
    </row>
    <row r="121" spans="1:13" s="229" customFormat="1" ht="19.149999999999999" customHeight="1">
      <c r="A121" s="228" t="s">
        <v>52</v>
      </c>
    </row>
    <row r="124" spans="1:13">
      <c r="B124" s="11"/>
    </row>
    <row r="125" spans="1:13">
      <c r="B125" s="11"/>
    </row>
    <row r="126" spans="1:13">
      <c r="B126" s="11"/>
    </row>
    <row r="127" spans="1:13">
      <c r="B127" s="11"/>
    </row>
    <row r="128" spans="1:13">
      <c r="B128" s="11"/>
    </row>
    <row r="129" spans="2:2">
      <c r="B129" s="11"/>
    </row>
    <row r="130" spans="2:2">
      <c r="B130" s="11"/>
    </row>
  </sheetData>
  <mergeCells count="114">
    <mergeCell ref="A121:XFD121"/>
    <mergeCell ref="B116:D116"/>
    <mergeCell ref="G116:I116"/>
    <mergeCell ref="K116:M116"/>
    <mergeCell ref="K117:M117"/>
    <mergeCell ref="B117:D117"/>
    <mergeCell ref="A111:D111"/>
    <mergeCell ref="B107:D107"/>
    <mergeCell ref="B108:D108"/>
    <mergeCell ref="B109:D109"/>
    <mergeCell ref="B110:D110"/>
    <mergeCell ref="A4:A5"/>
    <mergeCell ref="B7:D7"/>
    <mergeCell ref="B33:D33"/>
    <mergeCell ref="B6:D6"/>
    <mergeCell ref="B4:D5"/>
    <mergeCell ref="B72:D72"/>
    <mergeCell ref="B66:D66"/>
    <mergeCell ref="B67:D67"/>
    <mergeCell ref="B68:D68"/>
    <mergeCell ref="B69:D69"/>
    <mergeCell ref="B70:D70"/>
    <mergeCell ref="B63:D63"/>
    <mergeCell ref="B20:D20"/>
    <mergeCell ref="B8:D8"/>
    <mergeCell ref="B24:D24"/>
    <mergeCell ref="B25:D25"/>
    <mergeCell ref="B26:D26"/>
    <mergeCell ref="B27:D27"/>
    <mergeCell ref="B62:D62"/>
    <mergeCell ref="B53:D53"/>
    <mergeCell ref="B54:D54"/>
    <mergeCell ref="B55:D55"/>
    <mergeCell ref="B23:D23"/>
    <mergeCell ref="B22:D22"/>
    <mergeCell ref="D2:M2"/>
    <mergeCell ref="M4:P4"/>
    <mergeCell ref="G4:H4"/>
    <mergeCell ref="K4:L4"/>
    <mergeCell ref="I4:J4"/>
    <mergeCell ref="E4:F4"/>
    <mergeCell ref="B9:D9"/>
    <mergeCell ref="B60:D60"/>
    <mergeCell ref="B61:D61"/>
    <mergeCell ref="B59:D59"/>
    <mergeCell ref="B13:D13"/>
    <mergeCell ref="B14:D14"/>
    <mergeCell ref="B15:D15"/>
    <mergeCell ref="B19:D19"/>
    <mergeCell ref="B21:D21"/>
    <mergeCell ref="B10:D10"/>
    <mergeCell ref="B11:D11"/>
    <mergeCell ref="B12:D12"/>
    <mergeCell ref="B16:D16"/>
    <mergeCell ref="B57:D57"/>
    <mergeCell ref="B58:D58"/>
    <mergeCell ref="B17:D17"/>
    <mergeCell ref="B18:D18"/>
    <mergeCell ref="B52:D52"/>
    <mergeCell ref="B28:D28"/>
    <mergeCell ref="B29:D29"/>
    <mergeCell ref="B30:D30"/>
    <mergeCell ref="B31:D31"/>
    <mergeCell ref="B105:D105"/>
    <mergeCell ref="B106:D106"/>
    <mergeCell ref="B94:D94"/>
    <mergeCell ref="B103:D103"/>
    <mergeCell ref="B71:D71"/>
    <mergeCell ref="B90:D90"/>
    <mergeCell ref="B91:D91"/>
    <mergeCell ref="B92:D92"/>
    <mergeCell ref="B93:D93"/>
    <mergeCell ref="B104:D104"/>
    <mergeCell ref="B73:D73"/>
    <mergeCell ref="B74:D74"/>
    <mergeCell ref="B75:D75"/>
    <mergeCell ref="B76:D76"/>
    <mergeCell ref="B77:D77"/>
    <mergeCell ref="B65:D65"/>
    <mergeCell ref="B47:D47"/>
    <mergeCell ref="B48:D48"/>
    <mergeCell ref="B51:D51"/>
    <mergeCell ref="B40:D40"/>
    <mergeCell ref="B41:D41"/>
    <mergeCell ref="B42:D42"/>
    <mergeCell ref="B44:D44"/>
    <mergeCell ref="B32:D32"/>
    <mergeCell ref="B34:D34"/>
    <mergeCell ref="B36:D36"/>
    <mergeCell ref="B39:D39"/>
    <mergeCell ref="B83:D83"/>
    <mergeCell ref="B43:D43"/>
    <mergeCell ref="B49:D49"/>
    <mergeCell ref="B50:D50"/>
    <mergeCell ref="B38:D38"/>
    <mergeCell ref="B84:D84"/>
    <mergeCell ref="B85:D85"/>
    <mergeCell ref="B86:D86"/>
    <mergeCell ref="B87:D87"/>
    <mergeCell ref="B78:D78"/>
    <mergeCell ref="B79:D79"/>
    <mergeCell ref="B80:D80"/>
    <mergeCell ref="B81:D81"/>
    <mergeCell ref="B82:D82"/>
    <mergeCell ref="B98:D98"/>
    <mergeCell ref="B99:D99"/>
    <mergeCell ref="B100:D100"/>
    <mergeCell ref="B101:D101"/>
    <mergeCell ref="B102:D102"/>
    <mergeCell ref="B88:D88"/>
    <mergeCell ref="B89:D89"/>
    <mergeCell ref="B95:D95"/>
    <mergeCell ref="B96:D96"/>
    <mergeCell ref="B97:D97"/>
  </mergeCells>
  <phoneticPr fontId="4" type="noConversion"/>
  <pageMargins left="0.39370078740157483" right="0.39370078740157483" top="0.59055118110236227" bottom="0.39370078740157483" header="0.19685039370078741" footer="0.31496062992125984"/>
  <pageSetup paperSize="9" scale="49" fitToHeight="5" orientation="landscape" verticalDpi="1200" r:id="rId1"/>
  <headerFooter alignWithMargins="0"/>
  <rowBreaks count="1" manualBreakCount="1">
    <brk id="7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12</vt:i4>
      </vt:variant>
    </vt:vector>
  </HeadingPairs>
  <TitlesOfParts>
    <vt:vector size="18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до руху 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до руху 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до руху '!Область_печати</vt:lpstr>
      <vt:lpstr>'Розшифровка за джерелами'!Область_печати</vt:lpstr>
      <vt:lpstr>'Розшифровка кап'!Область_печати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2024-04-08T06:42:07Z</cp:lastPrinted>
  <dcterms:created xsi:type="dcterms:W3CDTF">2003-03-13T16:00:22Z</dcterms:created>
  <dcterms:modified xsi:type="dcterms:W3CDTF">2024-04-08T07:26:43Z</dcterms:modified>
</cp:coreProperties>
</file>